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rife.Behluli\Desktop\KAB 2026-2028\"/>
    </mc:Choice>
  </mc:AlternateContent>
  <bookViews>
    <workbookView xWindow="-120" yWindow="-120" windowWidth="29040" windowHeight="15720"/>
  </bookViews>
  <sheets>
    <sheet name="Buxheti 2026-2028" sheetId="1" r:id="rId1"/>
    <sheet name="Mallra dhe sherbime" sheetId="4" r:id="rId2"/>
    <sheet name="Shp.komunale subvencione" sheetId="3" r:id="rId3"/>
    <sheet name="Investime kapitale" sheetId="5" r:id="rId4"/>
    <sheet name="Projektet me donator" sheetId="6" r:id="rId5"/>
    <sheet name="Buxhetimi gjinor" sheetId="7" r:id="rId6"/>
    <sheet name="Treguesit baze" sheetId="8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D11" i="1"/>
  <c r="F22" i="3" l="1"/>
  <c r="F24" i="3" s="1"/>
  <c r="E24" i="3"/>
  <c r="D23" i="3"/>
  <c r="C22" i="3"/>
  <c r="B22" i="3"/>
  <c r="B21" i="3"/>
  <c r="D21" i="3" s="1"/>
  <c r="D20" i="3"/>
  <c r="C19" i="3"/>
  <c r="D19" i="3" s="1"/>
  <c r="B18" i="3"/>
  <c r="D18" i="3" s="1"/>
  <c r="C17" i="3"/>
  <c r="C24" i="3" s="1"/>
  <c r="B17" i="3"/>
  <c r="D16" i="3"/>
  <c r="D17" i="3" l="1"/>
  <c r="D22" i="3"/>
  <c r="B24" i="3"/>
  <c r="D24" i="3" s="1"/>
  <c r="F9" i="3"/>
  <c r="H22" i="7" l="1"/>
  <c r="C29" i="7"/>
  <c r="C30" i="7"/>
  <c r="C31" i="7"/>
  <c r="C32" i="7"/>
  <c r="D20" i="7"/>
  <c r="D22" i="7"/>
  <c r="E20" i="7"/>
  <c r="C20" i="7"/>
  <c r="C21" i="7"/>
  <c r="B19" i="7"/>
  <c r="B21" i="7"/>
  <c r="F21" i="7"/>
  <c r="F22" i="7" s="1"/>
  <c r="D21" i="7"/>
  <c r="F10" i="7"/>
  <c r="B20" i="7" l="1"/>
  <c r="E10" i="7" l="1"/>
  <c r="F7" i="7"/>
  <c r="G32" i="7"/>
  <c r="G31" i="7"/>
  <c r="G30" i="7"/>
  <c r="E19" i="7"/>
  <c r="E22" i="7" s="1"/>
  <c r="E8" i="7"/>
  <c r="C7" i="7"/>
  <c r="C22" i="7" l="1"/>
  <c r="D9" i="5"/>
  <c r="B30" i="5"/>
  <c r="E13" i="6"/>
  <c r="C13" i="6"/>
  <c r="B13" i="6"/>
  <c r="F12" i="6"/>
  <c r="F11" i="6"/>
  <c r="F10" i="6"/>
  <c r="F9" i="6"/>
  <c r="D8" i="6"/>
  <c r="F8" i="6" s="1"/>
  <c r="D7" i="6"/>
  <c r="D13" i="6" s="1"/>
  <c r="F6" i="6"/>
  <c r="C5" i="6"/>
  <c r="F5" i="6" s="1"/>
  <c r="B27" i="5"/>
  <c r="B26" i="5"/>
  <c r="B24" i="5"/>
  <c r="B20" i="5"/>
  <c r="B16" i="5"/>
  <c r="B15" i="5"/>
  <c r="C14" i="5"/>
  <c r="B14" i="5"/>
  <c r="D12" i="5"/>
  <c r="B12" i="5"/>
  <c r="B10" i="5"/>
  <c r="C9" i="5"/>
  <c r="D7" i="5"/>
  <c r="C6" i="5"/>
  <c r="B6" i="5"/>
  <c r="B3" i="5"/>
  <c r="K184" i="4"/>
  <c r="F184" i="4"/>
  <c r="E184" i="4"/>
  <c r="C184" i="4"/>
  <c r="M182" i="4"/>
  <c r="L181" i="4"/>
  <c r="M181" i="4" s="1"/>
  <c r="M180" i="4"/>
  <c r="M179" i="4"/>
  <c r="M178" i="4"/>
  <c r="M177" i="4"/>
  <c r="H176" i="4"/>
  <c r="M176" i="4" s="1"/>
  <c r="M175" i="4"/>
  <c r="H174" i="4"/>
  <c r="M174" i="4" s="1"/>
  <c r="M173" i="4"/>
  <c r="D173" i="4"/>
  <c r="B173" i="4"/>
  <c r="J172" i="4"/>
  <c r="J184" i="4" s="1"/>
  <c r="M171" i="4"/>
  <c r="I171" i="4"/>
  <c r="H170" i="4"/>
  <c r="M170" i="4" s="1"/>
  <c r="I169" i="4"/>
  <c r="M169" i="4" s="1"/>
  <c r="M168" i="4"/>
  <c r="M167" i="4"/>
  <c r="M166" i="4"/>
  <c r="D165" i="4"/>
  <c r="D184" i="4" s="1"/>
  <c r="M164" i="4"/>
  <c r="H163" i="4"/>
  <c r="M163" i="4" s="1"/>
  <c r="H162" i="4"/>
  <c r="M162" i="4" s="1"/>
  <c r="M161" i="4"/>
  <c r="M160" i="4"/>
  <c r="L159" i="4"/>
  <c r="M158" i="4"/>
  <c r="B157" i="4"/>
  <c r="M157" i="4" s="1"/>
  <c r="B156" i="4"/>
  <c r="M156" i="4" s="1"/>
  <c r="M155" i="4"/>
  <c r="M154" i="4"/>
  <c r="M153" i="4"/>
  <c r="M152" i="4"/>
  <c r="M151" i="4"/>
  <c r="B150" i="4"/>
  <c r="M150" i="4" s="1"/>
  <c r="M149" i="4"/>
  <c r="B149" i="4"/>
  <c r="B148" i="4"/>
  <c r="G147" i="4"/>
  <c r="M147" i="4" s="1"/>
  <c r="M146" i="4"/>
  <c r="M145" i="4"/>
  <c r="M144" i="4"/>
  <c r="M143" i="4"/>
  <c r="M142" i="4"/>
  <c r="M141" i="4"/>
  <c r="M140" i="4"/>
  <c r="H139" i="4"/>
  <c r="M139" i="4" s="1"/>
  <c r="M138" i="4"/>
  <c r="M137" i="4"/>
  <c r="H136" i="4"/>
  <c r="M136" i="4" s="1"/>
  <c r="M135" i="4"/>
  <c r="M134" i="4"/>
  <c r="M133" i="4"/>
  <c r="M132" i="4"/>
  <c r="M131" i="4"/>
  <c r="M130" i="4"/>
  <c r="M129" i="4"/>
  <c r="M128" i="4"/>
  <c r="M127" i="4"/>
  <c r="H126" i="4"/>
  <c r="M126" i="4" s="1"/>
  <c r="K122" i="4"/>
  <c r="J122" i="4"/>
  <c r="F122" i="4"/>
  <c r="E122" i="4"/>
  <c r="C122" i="4"/>
  <c r="M120" i="4"/>
  <c r="M119" i="4"/>
  <c r="L119" i="4"/>
  <c r="M118" i="4"/>
  <c r="M117" i="4"/>
  <c r="M116" i="4"/>
  <c r="M115" i="4"/>
  <c r="H114" i="4"/>
  <c r="M114" i="4" s="1"/>
  <c r="M113" i="4"/>
  <c r="H112" i="4"/>
  <c r="M112" i="4" s="1"/>
  <c r="D111" i="4"/>
  <c r="B111" i="4"/>
  <c r="M111" i="4" s="1"/>
  <c r="M110" i="4"/>
  <c r="I109" i="4"/>
  <c r="M109" i="4" s="1"/>
  <c r="H108" i="4"/>
  <c r="M108" i="4" s="1"/>
  <c r="I107" i="4"/>
  <c r="M107" i="4" s="1"/>
  <c r="M106" i="4"/>
  <c r="M105" i="4"/>
  <c r="M104" i="4"/>
  <c r="D103" i="4"/>
  <c r="M103" i="4" s="1"/>
  <c r="M102" i="4"/>
  <c r="H101" i="4"/>
  <c r="M101" i="4" s="1"/>
  <c r="M100" i="4"/>
  <c r="H100" i="4"/>
  <c r="M99" i="4"/>
  <c r="M98" i="4"/>
  <c r="L97" i="4"/>
  <c r="M97" i="4" s="1"/>
  <c r="M96" i="4"/>
  <c r="M95" i="4"/>
  <c r="B94" i="4"/>
  <c r="M94" i="4" s="1"/>
  <c r="M93" i="4"/>
  <c r="M92" i="4"/>
  <c r="M91" i="4"/>
  <c r="M90" i="4"/>
  <c r="M89" i="4"/>
  <c r="B88" i="4"/>
  <c r="M88" i="4" s="1"/>
  <c r="B87" i="4"/>
  <c r="M87" i="4" s="1"/>
  <c r="B86" i="4"/>
  <c r="B122" i="4" s="1"/>
  <c r="G85" i="4"/>
  <c r="G122" i="4" s="1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H64" i="4"/>
  <c r="H122" i="4" s="1"/>
  <c r="K59" i="4"/>
  <c r="J59" i="4"/>
  <c r="F59" i="4"/>
  <c r="E59" i="4"/>
  <c r="C59" i="4"/>
  <c r="M58" i="4"/>
  <c r="L57" i="4"/>
  <c r="M57" i="4" s="1"/>
  <c r="M56" i="4"/>
  <c r="M55" i="4"/>
  <c r="M54" i="4"/>
  <c r="H53" i="4"/>
  <c r="M53" i="4" s="1"/>
  <c r="M52" i="4"/>
  <c r="H51" i="4"/>
  <c r="M51" i="4" s="1"/>
  <c r="D50" i="4"/>
  <c r="B50" i="4"/>
  <c r="M49" i="4"/>
  <c r="I48" i="4"/>
  <c r="M48" i="4" s="1"/>
  <c r="H47" i="4"/>
  <c r="M47" i="4" s="1"/>
  <c r="I46" i="4"/>
  <c r="M46" i="4" s="1"/>
  <c r="M45" i="4"/>
  <c r="M44" i="4"/>
  <c r="M43" i="4"/>
  <c r="D42" i="4"/>
  <c r="M42" i="4" s="1"/>
  <c r="M41" i="4"/>
  <c r="H40" i="4"/>
  <c r="M40" i="4" s="1"/>
  <c r="H39" i="4"/>
  <c r="M39" i="4" s="1"/>
  <c r="M38" i="4"/>
  <c r="M37" i="4"/>
  <c r="L36" i="4"/>
  <c r="L59" i="4" s="1"/>
  <c r="M35" i="4"/>
  <c r="M34" i="4"/>
  <c r="B33" i="4"/>
  <c r="M33" i="4" s="1"/>
  <c r="M32" i="4"/>
  <c r="M31" i="4"/>
  <c r="M30" i="4"/>
  <c r="M29" i="4"/>
  <c r="M28" i="4"/>
  <c r="B27" i="4"/>
  <c r="M27" i="4" s="1"/>
  <c r="B26" i="4"/>
  <c r="M26" i="4" s="1"/>
  <c r="B25" i="4"/>
  <c r="M25" i="4" s="1"/>
  <c r="G24" i="4"/>
  <c r="M24" i="4" s="1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H3" i="4"/>
  <c r="E55" i="1"/>
  <c r="D55" i="1"/>
  <c r="C55" i="1"/>
  <c r="E54" i="1"/>
  <c r="D54" i="1"/>
  <c r="C54" i="1"/>
  <c r="E49" i="1"/>
  <c r="D49" i="1"/>
  <c r="C49" i="1"/>
  <c r="C56" i="1" s="1"/>
  <c r="E37" i="1"/>
  <c r="D37" i="1"/>
  <c r="C9" i="3"/>
  <c r="B9" i="3"/>
  <c r="D8" i="3"/>
  <c r="E8" i="3" s="1"/>
  <c r="D7" i="3"/>
  <c r="D6" i="3"/>
  <c r="E6" i="3" s="1"/>
  <c r="D5" i="3"/>
  <c r="E5" i="3" s="1"/>
  <c r="E20" i="1"/>
  <c r="D20" i="1"/>
  <c r="C15" i="1"/>
  <c r="E7" i="1"/>
  <c r="E9" i="1" s="1"/>
  <c r="D7" i="1"/>
  <c r="D9" i="1" s="1"/>
  <c r="C7" i="1"/>
  <c r="C9" i="1" s="1"/>
  <c r="E9" i="3" l="1"/>
  <c r="D56" i="1"/>
  <c r="E56" i="1"/>
  <c r="D9" i="3"/>
  <c r="B22" i="7"/>
  <c r="F7" i="6"/>
  <c r="F13" i="6" s="1"/>
  <c r="C30" i="5"/>
  <c r="D30" i="5"/>
  <c r="H59" i="4"/>
  <c r="G59" i="4"/>
  <c r="D122" i="4"/>
  <c r="B184" i="4"/>
  <c r="M50" i="4"/>
  <c r="L122" i="4"/>
  <c r="B59" i="4"/>
  <c r="M86" i="4"/>
  <c r="L184" i="4"/>
  <c r="M64" i="4"/>
  <c r="H184" i="4"/>
  <c r="D59" i="4"/>
  <c r="I184" i="4"/>
  <c r="M3" i="4"/>
  <c r="M36" i="4"/>
  <c r="I122" i="4"/>
  <c r="M148" i="4"/>
  <c r="M159" i="4"/>
  <c r="I59" i="4"/>
  <c r="M165" i="4"/>
  <c r="G184" i="4"/>
  <c r="M172" i="4"/>
  <c r="M85" i="4"/>
  <c r="C20" i="1"/>
  <c r="M184" i="4" l="1"/>
  <c r="M122" i="4"/>
  <c r="M59" i="4"/>
</calcChain>
</file>

<file path=xl/sharedStrings.xml><?xml version="1.0" encoding="utf-8"?>
<sst xmlns="http://schemas.openxmlformats.org/spreadsheetml/2006/main" count="403" uniqueCount="246">
  <si>
    <t xml:space="preserve">Zyra e Kryetarit </t>
  </si>
  <si>
    <t>Zyra e Auditorit</t>
  </si>
  <si>
    <t>Zyra e Kuvendit Komunal</t>
  </si>
  <si>
    <t>Administrata dhe Personeli</t>
  </si>
  <si>
    <t>Inspektimet</t>
  </si>
  <si>
    <t>Prokurimi</t>
  </si>
  <si>
    <t>Buxheti dhe Financat</t>
  </si>
  <si>
    <t>Shendetesia -Administrata</t>
  </si>
  <si>
    <t>Kultur,rini,Sport</t>
  </si>
  <si>
    <t>TOTALI:</t>
  </si>
  <si>
    <t>DSHPE Infrastruktura rrugore</t>
  </si>
  <si>
    <t xml:space="preserve">Infrastruktura </t>
  </si>
  <si>
    <t xml:space="preserve">Kadastri dhe Xheodozia  </t>
  </si>
  <si>
    <t>Urbanizmi</t>
  </si>
  <si>
    <t>Planifikimi Mjedisor</t>
  </si>
  <si>
    <t>Kujdesi Primar shendetesor</t>
  </si>
  <si>
    <t>Sherbimet Sociale</t>
  </si>
  <si>
    <t xml:space="preserve">Zyra Komunale per Komunitete </t>
  </si>
  <si>
    <t>Bujqesia</t>
  </si>
  <si>
    <t>Arsimi parashkollor dhe qerdhe</t>
  </si>
  <si>
    <t>Arsimi Fillor</t>
  </si>
  <si>
    <t>Arsimi-Administrata</t>
  </si>
  <si>
    <t>PAGA DHE MEDITJE</t>
  </si>
  <si>
    <t>PLANIFIKIMI I BUXHETIT 2026-2028</t>
  </si>
  <si>
    <t>VITET</t>
  </si>
  <si>
    <t>GRANTI I PËRGJITHSHËM</t>
  </si>
  <si>
    <t>GRANTI SPECIFIK I ARSIMIT</t>
  </si>
  <si>
    <t>GRANTI SPECIFIK I SHËNDËTËSISË</t>
  </si>
  <si>
    <t>TOTAL GRANTI</t>
  </si>
  <si>
    <t>LIGJI I OBILIQIT 05/L-044</t>
  </si>
  <si>
    <t>TË HYRAT VETANAKE 2026-2028</t>
  </si>
  <si>
    <t>TOTAL BUXHETI 2026-2028</t>
  </si>
  <si>
    <t>KATEGORIT EKONOMIKE</t>
  </si>
  <si>
    <t>Paga dhe meditje</t>
  </si>
  <si>
    <t>Mallra dhe sherbime</t>
  </si>
  <si>
    <t>Shpenzime komunale</t>
  </si>
  <si>
    <t>Subvencione dhe transfere</t>
  </si>
  <si>
    <t>Investime kapitale</t>
  </si>
  <si>
    <t>Arsimi i mesem</t>
  </si>
  <si>
    <t>SHPENZIME KOMUNALE</t>
  </si>
  <si>
    <t>GRANT</t>
  </si>
  <si>
    <t>THV</t>
  </si>
  <si>
    <t>TOTALI 2026</t>
  </si>
  <si>
    <t>SHENDETESIA</t>
  </si>
  <si>
    <t>ARSIMI</t>
  </si>
  <si>
    <t>DSHPE</t>
  </si>
  <si>
    <t>QERDHJA RRITA JONE</t>
  </si>
  <si>
    <t xml:space="preserve">TOTALI:       </t>
  </si>
  <si>
    <t xml:space="preserve">GRANT </t>
  </si>
  <si>
    <t xml:space="preserve">THV </t>
  </si>
  <si>
    <t>TOTALI</t>
  </si>
  <si>
    <t>DEFZH</t>
  </si>
  <si>
    <t>Shendetsia</t>
  </si>
  <si>
    <t>PLANIFIKIMI I BUXHETIT PËR MALLRA DHE SHËRBIME  PËR VITIN 2026</t>
  </si>
  <si>
    <t>Pershkrimi</t>
  </si>
  <si>
    <t>Administrata</t>
  </si>
  <si>
    <t>DKA</t>
  </si>
  <si>
    <t>Z. Kryetarit</t>
  </si>
  <si>
    <t>Z. Kuvendit</t>
  </si>
  <si>
    <t>Infrastruktura</t>
  </si>
  <si>
    <t>Pl .Mjedisor</t>
  </si>
  <si>
    <t>Qerdhja</t>
  </si>
  <si>
    <t>ZLK</t>
  </si>
  <si>
    <t>DKRS</t>
  </si>
  <si>
    <t>TOTAL</t>
  </si>
  <si>
    <t>Material Administrative</t>
  </si>
  <si>
    <t>Material Laboratorik</t>
  </si>
  <si>
    <t>Material Ampullar</t>
  </si>
  <si>
    <t>Material Stomatologjik</t>
  </si>
  <si>
    <t>Material Gjinekologjik - Radiologjik</t>
  </si>
  <si>
    <t>Material Administativo Shendetosor</t>
  </si>
  <si>
    <t>Furnizim me oksigjen</t>
  </si>
  <si>
    <t>Trajtimi I mbetjeve mjeksore</t>
  </si>
  <si>
    <t xml:space="preserve">Material Higjenik </t>
  </si>
  <si>
    <t>Sherbimet e byfese</t>
  </si>
  <si>
    <t>Blerja e sherbimeve per IT dhe miremb.e kamerave</t>
  </si>
  <si>
    <t>Furnizim me Tonera dhe servisim</t>
  </si>
  <si>
    <t>Petty Cash</t>
  </si>
  <si>
    <t>Derivate per vetura</t>
  </si>
  <si>
    <t>Derivate per gjenerator dhe kaldaja</t>
  </si>
  <si>
    <t>Sherbimet e autolarjes</t>
  </si>
  <si>
    <t>Regjistrimi dhe sigurimi I automjeteve</t>
  </si>
  <si>
    <t>Mirmbajtja e veturave</t>
  </si>
  <si>
    <t>Mbushja e aparateve sigurise</t>
  </si>
  <si>
    <t>Mirmbajtja e ndiqimit Publik  NPL</t>
  </si>
  <si>
    <t xml:space="preserve">Sinjalizimi horizontal dhe vertikal  </t>
  </si>
  <si>
    <t>Hartimi I projekteve</t>
  </si>
  <si>
    <t>Kredit kartela</t>
  </si>
  <si>
    <t>Meditje per Udhetime zyrtare</t>
  </si>
  <si>
    <t>Shp.udhtime zyrtare</t>
  </si>
  <si>
    <t>Transport I nxenesve 0-9</t>
  </si>
  <si>
    <t>Sherbimet per shkollat NPL</t>
  </si>
  <si>
    <t>Fondi per inovacion nxenes</t>
  </si>
  <si>
    <t>Avans per udhetime zyratre</t>
  </si>
  <si>
    <t>Mirenjohje</t>
  </si>
  <si>
    <t>Dreka zyrtare</t>
  </si>
  <si>
    <t>Mareveshjet 2+1</t>
  </si>
  <si>
    <t>Rastet emergjente NPL</t>
  </si>
  <si>
    <t>Mirembajtja e objektit  komunes shtepia e kultures  NPL</t>
  </si>
  <si>
    <t>Mirembajtja e rrugeve, mbyllja e gropave</t>
  </si>
  <si>
    <t>Telefonia Mobile</t>
  </si>
  <si>
    <t>Pastrimi I borës</t>
  </si>
  <si>
    <t>Rrenimi I objekteve</t>
  </si>
  <si>
    <t xml:space="preserve">DDD </t>
  </si>
  <si>
    <t>Dru dhe pelet</t>
  </si>
  <si>
    <t>Trajnimet e stafit</t>
  </si>
  <si>
    <t>Mirembajtja rutinore/deponit ilegale</t>
  </si>
  <si>
    <t>Mbjellja e drunjve NPL</t>
  </si>
  <si>
    <t xml:space="preserve">Mirmbajtja e parqeve,trotuareve,hapsirave publike, mirmb.e varrezave NPL </t>
  </si>
  <si>
    <t xml:space="preserve">Mirembajtja e lumenjeve dhe prockave </t>
  </si>
  <si>
    <t>Tabelat e vetdisimit</t>
  </si>
  <si>
    <t xml:space="preserve">Ushqim dhe pije per Qerdhe </t>
  </si>
  <si>
    <t>Furnizim me uje dhe gota dhe koktele</t>
  </si>
  <si>
    <t>Shtruarja e rrugeve me zhavor</t>
  </si>
  <si>
    <t>Sherbimet tjera kontraktuese NPL</t>
  </si>
  <si>
    <t>Sherbimet e recepcionit, mirembajtja e shkollave  NPL</t>
  </si>
  <si>
    <t xml:space="preserve"> </t>
  </si>
  <si>
    <t>Libreza Sanitare dhe mat sanitar</t>
  </si>
  <si>
    <t>.</t>
  </si>
  <si>
    <t>Kshilla juridike</t>
  </si>
  <si>
    <t>Furnizim me lule -kurora</t>
  </si>
  <si>
    <t>Dekorimi i qytetit NPL</t>
  </si>
  <si>
    <t>Blerja e kontinjereve NPL</t>
  </si>
  <si>
    <t>Total</t>
  </si>
  <si>
    <t>PLANIFIKIMI I BUXHETIT PËR MALLRA DHE SHËRBIME  PËR VITIN 2027</t>
  </si>
  <si>
    <t xml:space="preserve">Mirmbajtja e ndiqimit Publik  </t>
  </si>
  <si>
    <t>Kontrata mbi veper eksperta</t>
  </si>
  <si>
    <t>Rastet emergjente</t>
  </si>
  <si>
    <t xml:space="preserve">Mirembajtja e objektit  komunes shtepia e kultures  </t>
  </si>
  <si>
    <t xml:space="preserve">Trajnimet </t>
  </si>
  <si>
    <t>Mbjellja e drunjve</t>
  </si>
  <si>
    <t>Mirmbajtja e parqeve,trotuareve,hapsirave publike, mirmb.e varrezave  NPL</t>
  </si>
  <si>
    <t xml:space="preserve">Sherbimet e recepcionit, mirembajtja e shkollave  </t>
  </si>
  <si>
    <t>Uniforma</t>
  </si>
  <si>
    <t xml:space="preserve">Dekorimi i qytetit </t>
  </si>
  <si>
    <t>Blerja e kontinjereve</t>
  </si>
  <si>
    <t>PLANIFIKIMI I BUXHETIT PËR MALLRA DHE SHËRBIME  PËR VITIN 2028</t>
  </si>
  <si>
    <t>INVESTIME KAPITALE PËR VITET</t>
  </si>
  <si>
    <t>Ndriqimi Publik</t>
  </si>
  <si>
    <t>Instalimi i ngrohjes qendrore në qytetin e Obiliqit - Kogjenerimi</t>
  </si>
  <si>
    <t>Mbikqyrja profesionale e sistemit te kogjenerimit</t>
  </si>
  <si>
    <t>Ndertimi dhe instalimi i stacionit te marrjes se nxehtesise dhe nenstacionet e ngrohjes qendrore</t>
  </si>
  <si>
    <t>Ndertimi i pishines gjysem olimpike</t>
  </si>
  <si>
    <t>Ndertimi i parkingut rr.Adem Jashari Obiliq</t>
  </si>
  <si>
    <t>Ndertimi i kanalizimit në qytetin e Obiliqit</t>
  </si>
  <si>
    <t xml:space="preserve">Bashkfinancim </t>
  </si>
  <si>
    <t>Asfaltimi I rrug.Islam Mjeku ne Graboc</t>
  </si>
  <si>
    <t>Blerja e instrumenteve muzikore per Kulture</t>
  </si>
  <si>
    <t>Ndertimi I parkut Mazgit  te Qerdhja</t>
  </si>
  <si>
    <t xml:space="preserve">Ndertimi I katit te trete ne QKMF      </t>
  </si>
  <si>
    <t>Asfaltimi I rruges Hamidi-Sibovc-Lajthishte</t>
  </si>
  <si>
    <t>Ndertimi I kanalizimit dhe ndertimi I trotuarit Rr. Dita e Flamurit Mazgit I nalte</t>
  </si>
  <si>
    <t>Rregullimi I kanalizimit Rr. Vllaznim Bashkimi, Sokoli, vidovdanska, bregaj deri te lumi Sitnica Plemetin</t>
  </si>
  <si>
    <t>Ndertimi I trotuarit Rr.Nuhi Kelmendi</t>
  </si>
  <si>
    <t>Ndriqimi Publik dhe vendosja e kamerave ne lagjen Hade e re</t>
  </si>
  <si>
    <t>Rregullimi I stadionit-rrethojat, muri mbrojtes dhe zhveshtoret Raskove</t>
  </si>
  <si>
    <t>Asfaltimi Rr. Molla e Kuqe, Rr. Kushtrimi i UÇK-së me segmente, dhe Rr. Hoxhë Ali Çerkezi seg1; Rr. Sogujeva seg Millosheve</t>
  </si>
  <si>
    <t xml:space="preserve">Asfaltimi i rrugeve Rr. Mollla e kuqe, Rr. Shaqir Brahimi ; Rr. Sejdi Gërvalla me seg Rr. Besëlidhja me seg  Rr. Dukati me seg.Raskove  </t>
  </si>
  <si>
    <t>Asfaltimi Rr. Dëshmorët me seg  Rr. Sali Mehana  Rr. Ushtarët e UÇK-së  Rr. Luftëtari Bakshi</t>
  </si>
  <si>
    <t>Asfaltimi Rr. Ajete Kelmendi seg 1,2, Siboc, seg.Sabedin Pllana, Kalaja, Shtabi i UQK Lajthishte,R., Bregaj seg.1,2, rr.Sokoli me seg Plemetin</t>
  </si>
  <si>
    <t>Asfaltimi i rr,Adem Jashari, Durresi, Ismail,Qemaili,Shaban Polluzha, seg.Albert Rama,seg. Abdurrahman Gerguri, seg.Janina,rr,Hasan Hasani, Martiret Aliu,Shkupi me seg. Në Obiliq</t>
  </si>
  <si>
    <t>Asfaltimi i seg.rr.Halit Bici  dhe parkingu Mazgit i eperm te xhamia e Raqve</t>
  </si>
  <si>
    <t>Asfaltimi i rr.Hoxhe Breznica me seg. dhe ura te Murati,Rr. Perveticet, Krasniqet,lagja e Lushajve, Hysen Hajdari me seg, Isuf Krasniqi, Beqir Krasniqi me seg.Breznice, Rr. Kalaja e UQK, Breznia me seg.Kozarice</t>
  </si>
  <si>
    <t xml:space="preserve">Asfaltimi rr.Çlirimi me seg.,Milaim Mirena,Shaban Sollova,Dita e Flamurit me seg,15Prilli me seg.Mbreti Bardhyl me seg,Vatra, 17 Shkurti, seg. Rr.Afrim Zhitia dhe seg.e rr. Mavriqi Mazgit </t>
  </si>
  <si>
    <t>Ndertimi i Parkut ne Mazgit lagja Haziraj</t>
  </si>
  <si>
    <t>Ndertimi i shtepive per komunitetin per persona me aftesi te kufizuar</t>
  </si>
  <si>
    <t>TOTAL I INVESTIMEVE  2026-2028</t>
  </si>
  <si>
    <t>EMËRTIMI I PROJEKTEVE</t>
  </si>
  <si>
    <t>BANKA BOTRORE</t>
  </si>
  <si>
    <t>BE</t>
  </si>
  <si>
    <t>MMPHI</t>
  </si>
  <si>
    <t>MKRS</t>
  </si>
  <si>
    <t>Instalimi i ngrohjes qendrore ne Obiliq</t>
  </si>
  <si>
    <t>3-5 vite</t>
  </si>
  <si>
    <t>Rrjeti shpërndarjes së ngrohjes qendrore ne komunën e Obiliqit</t>
  </si>
  <si>
    <t>Stacioni i marrjes së nxehtësisë (kyqja në TCB) faza -II- të dhe faza e - III-të</t>
  </si>
  <si>
    <t>3 vite</t>
  </si>
  <si>
    <t xml:space="preserve">Instalimet elektrike, transformatorët dhe kontrollin e sistemit të rrjetit  të shpërndarjes për ngrohje të qytetit </t>
  </si>
  <si>
    <t>Ndërtimi dhe instalimi i nënstacioneve të ngrohjes qendrore</t>
  </si>
  <si>
    <t>Ndërtimi i pishinës gjysëm olimpike në Obiliq</t>
  </si>
  <si>
    <t>2 vite</t>
  </si>
  <si>
    <t>Ndërtimi i Parkut industrial në Obiliq</t>
  </si>
  <si>
    <t>Ndertimi i Qendres Rinorenë Obiliq</t>
  </si>
  <si>
    <t>Tabela 1.Numri I punëtorëve ne Komunën e Obiliqit</t>
  </si>
  <si>
    <t>Komuna Obiliq</t>
  </si>
  <si>
    <t>Viti</t>
  </si>
  <si>
    <t>Numri i Stafit</t>
  </si>
  <si>
    <t>Numri i stafit gra</t>
  </si>
  <si>
    <t>Numri  i stafit burra</t>
  </si>
  <si>
    <t>Paga dhe meditje/shuma për gra</t>
  </si>
  <si>
    <t>Paga dhe meditje/shuma për burra</t>
  </si>
  <si>
    <t>656</t>
  </si>
  <si>
    <t>647</t>
  </si>
  <si>
    <t>Totali:</t>
  </si>
  <si>
    <t>Niveli I pagave</t>
  </si>
  <si>
    <t>Numri total I stafit ne nivel te pagave</t>
  </si>
  <si>
    <t>Numri I burrave</t>
  </si>
  <si>
    <t>Shuma e shpenzuar per burra</t>
  </si>
  <si>
    <t>Numri i grave</t>
  </si>
  <si>
    <t>Shuma e shpenzuar per gra</t>
  </si>
  <si>
    <t>201-400</t>
  </si>
  <si>
    <t>401-600</t>
  </si>
  <si>
    <t>600+</t>
  </si>
  <si>
    <t xml:space="preserve">Tabela 3.Numri i përfituesve të subvencioneve apo edhe shërbimeve të ofruara nga </t>
  </si>
  <si>
    <t xml:space="preserve">organizata buxhetore të drejtorive përkatëse </t>
  </si>
  <si>
    <t>Numri total I shërbimit (subvencionit të caktuar)</t>
  </si>
  <si>
    <t>Numri total I përfituesve</t>
  </si>
  <si>
    <t>Numri I përfituesve gra</t>
  </si>
  <si>
    <t>Numri I përfituesve burra</t>
  </si>
  <si>
    <t>Buxheti për gra</t>
  </si>
  <si>
    <t>Buxheti për burra</t>
  </si>
  <si>
    <t>1706</t>
  </si>
  <si>
    <t>1532</t>
  </si>
  <si>
    <t>1800</t>
  </si>
  <si>
    <t>BUXHETIMI GJINOR 2026</t>
  </si>
  <si>
    <t>Tabela 2.Planifikimi për vitin 2026 Niveli i pagave në Komunë</t>
  </si>
  <si>
    <t>Planifikimi 2026</t>
  </si>
  <si>
    <t>227</t>
  </si>
  <si>
    <t>OBJEKTIVI 1</t>
  </si>
  <si>
    <t>TREGUESI BAZË</t>
  </si>
  <si>
    <t>TREGUESI I SYNUAR</t>
  </si>
  <si>
    <t>Pëmirësdimi i mbikqyrjes së aktiviteteve për përformacë të mirë</t>
  </si>
  <si>
    <t>Numri i treguesve të përformancës</t>
  </si>
  <si>
    <t>Renditja në vendit e tretë  për % e IK</t>
  </si>
  <si>
    <t>Aktivitetet</t>
  </si>
  <si>
    <t>Rishikimi i procedurave për përmirësimin e përformancës</t>
  </si>
  <si>
    <t>Grumbullimi dhe raportimi mbi aktivitetet për përmirësimin e përformancës</t>
  </si>
  <si>
    <t>Kryerja e hetimeve për aktivitetet e synuara</t>
  </si>
  <si>
    <t>Zhvillimi i përmbledhjes së burimeve për përformancen më të mirë</t>
  </si>
  <si>
    <t>Madhësia e vlerësuar</t>
  </si>
  <si>
    <t>Madhësia e vlerësuar për përformacë më të lartë</t>
  </si>
  <si>
    <t>Bashkpunimi me ministritë e linjave dhe  donatorë  të mundshëm</t>
  </si>
  <si>
    <t>Bashkpunimi me grupet punuese për përmirësimin e përformancës komunale</t>
  </si>
  <si>
    <t xml:space="preserve">Bashkpunimi ndërkomunal mes komunave të regjionit </t>
  </si>
  <si>
    <t xml:space="preserve">  </t>
  </si>
  <si>
    <t>;</t>
  </si>
  <si>
    <t>SUBVENCIONE DHE TRANSFERE</t>
  </si>
  <si>
    <t>ZYRA E KRYETARIT</t>
  </si>
  <si>
    <t>KULTURË, RINI DHE SPORT</t>
  </si>
  <si>
    <t>BUJQESIA</t>
  </si>
  <si>
    <t>KUJDESI PRIMAR SHËNDETËSOR</t>
  </si>
  <si>
    <t>QENDRA SOCIALE</t>
  </si>
  <si>
    <t>SHPENZIME KOMUNALE PËR VITET</t>
  </si>
  <si>
    <t>SUBVENCIONE DHE TRANSFERE PËR VITET</t>
  </si>
  <si>
    <t>PLANIFIKIMI I PROJEKTEVE ME DONATOR 2026-2028</t>
  </si>
  <si>
    <t>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</si>
</sst>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</font>
    <font>
      <b/>
      <sz val="8"/>
      <color theme="3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5" applyNumberFormat="0" applyFill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2" borderId="2" xfId="0" applyFont="1" applyFill="1" applyBorder="1" applyAlignment="1">
      <alignment horizontal="left" wrapText="1"/>
    </xf>
    <xf numFmtId="43" fontId="4" fillId="2" borderId="2" xfId="1" applyFont="1" applyFill="1" applyBorder="1"/>
    <xf numFmtId="43" fontId="2" fillId="0" borderId="0" xfId="1" applyFont="1"/>
    <xf numFmtId="0" fontId="3" fillId="0" borderId="2" xfId="0" applyFont="1" applyBorder="1"/>
    <xf numFmtId="43" fontId="5" fillId="0" borderId="4" xfId="1" applyFont="1" applyFill="1" applyBorder="1"/>
    <xf numFmtId="43" fontId="5" fillId="0" borderId="2" xfId="1" applyFont="1" applyFill="1" applyBorder="1"/>
    <xf numFmtId="0" fontId="5" fillId="0" borderId="2" xfId="0" applyFont="1" applyBorder="1"/>
    <xf numFmtId="0" fontId="5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9" fillId="3" borderId="2" xfId="0" applyFont="1" applyFill="1" applyBorder="1" applyAlignment="1"/>
    <xf numFmtId="0" fontId="10" fillId="3" borderId="2" xfId="0" applyFont="1" applyFill="1" applyBorder="1"/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43" fontId="10" fillId="3" borderId="2" xfId="1" applyFont="1" applyFill="1" applyBorder="1"/>
    <xf numFmtId="0" fontId="9" fillId="3" borderId="2" xfId="0" applyFont="1" applyFill="1" applyBorder="1"/>
    <xf numFmtId="43" fontId="9" fillId="3" borderId="2" xfId="1" applyFont="1" applyFill="1" applyBorder="1"/>
    <xf numFmtId="0" fontId="9" fillId="3" borderId="2" xfId="0" applyFont="1" applyFill="1" applyBorder="1" applyAlignment="1">
      <alignment horizontal="center" vertical="center" wrapText="1"/>
    </xf>
    <xf numFmtId="43" fontId="9" fillId="3" borderId="2" xfId="0" applyNumberFormat="1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/>
    <xf numFmtId="43" fontId="12" fillId="0" borderId="2" xfId="1" applyFont="1" applyFill="1" applyBorder="1"/>
    <xf numFmtId="43" fontId="11" fillId="0" borderId="2" xfId="1" applyFont="1" applyFill="1" applyBorder="1"/>
    <xf numFmtId="43" fontId="11" fillId="0" borderId="2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43" fontId="11" fillId="0" borderId="0" xfId="1" applyFont="1" applyFill="1" applyBorder="1"/>
    <xf numFmtId="0" fontId="0" fillId="0" borderId="0" xfId="0" applyFill="1"/>
    <xf numFmtId="0" fontId="11" fillId="3" borderId="2" xfId="0" applyFont="1" applyFill="1" applyBorder="1" applyAlignment="1">
      <alignment horizontal="center"/>
    </xf>
    <xf numFmtId="0" fontId="14" fillId="3" borderId="2" xfId="3" applyFont="1" applyFill="1" applyBorder="1" applyAlignment="1" applyProtection="1">
      <alignment vertical="top" wrapText="1" indent="1"/>
    </xf>
    <xf numFmtId="43" fontId="8" fillId="0" borderId="2" xfId="1" applyFont="1" applyFill="1" applyBorder="1"/>
    <xf numFmtId="43" fontId="1" fillId="0" borderId="2" xfId="1" applyFont="1" applyFill="1" applyBorder="1"/>
    <xf numFmtId="43" fontId="8" fillId="3" borderId="2" xfId="1" applyFont="1" applyFill="1" applyBorder="1"/>
    <xf numFmtId="0" fontId="0" fillId="3" borderId="0" xfId="0" applyFill="1"/>
    <xf numFmtId="43" fontId="0" fillId="3" borderId="0" xfId="1" applyFont="1" applyFill="1"/>
    <xf numFmtId="0" fontId="16" fillId="3" borderId="2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wrapText="1"/>
    </xf>
    <xf numFmtId="43" fontId="17" fillId="3" borderId="2" xfId="1" applyFont="1" applyFill="1" applyBorder="1" applyAlignment="1">
      <alignment vertical="center"/>
    </xf>
    <xf numFmtId="43" fontId="18" fillId="3" borderId="2" xfId="1" applyFont="1" applyFill="1" applyBorder="1" applyAlignment="1">
      <alignment vertical="center"/>
    </xf>
    <xf numFmtId="0" fontId="18" fillId="3" borderId="2" xfId="0" applyFont="1" applyFill="1" applyBorder="1" applyAlignment="1">
      <alignment horizontal="left" wrapText="1"/>
    </xf>
    <xf numFmtId="43" fontId="17" fillId="3" borderId="3" xfId="1" applyFont="1" applyFill="1" applyBorder="1" applyAlignment="1">
      <alignment vertical="center"/>
    </xf>
    <xf numFmtId="43" fontId="17" fillId="3" borderId="6" xfId="1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43" fontId="0" fillId="3" borderId="0" xfId="0" applyNumberFormat="1" applyFill="1"/>
    <xf numFmtId="0" fontId="19" fillId="3" borderId="2" xfId="0" applyFont="1" applyFill="1" applyBorder="1" applyAlignment="1"/>
    <xf numFmtId="0" fontId="19" fillId="3" borderId="2" xfId="0" applyFont="1" applyFill="1" applyBorder="1" applyAlignment="1">
      <alignment horizontal="center"/>
    </xf>
    <xf numFmtId="0" fontId="20" fillId="3" borderId="2" xfId="0" applyFont="1" applyFill="1" applyBorder="1" applyAlignment="1"/>
    <xf numFmtId="43" fontId="20" fillId="3" borderId="2" xfId="1" applyFont="1" applyFill="1" applyBorder="1" applyAlignment="1">
      <alignment horizontal="center"/>
    </xf>
    <xf numFmtId="43" fontId="20" fillId="3" borderId="2" xfId="1" applyFont="1" applyFill="1" applyBorder="1" applyAlignment="1">
      <alignment vertical="center" wrapText="1"/>
    </xf>
    <xf numFmtId="43" fontId="20" fillId="3" borderId="2" xfId="1" applyFont="1" applyFill="1" applyBorder="1" applyAlignment="1">
      <alignment vertical="center"/>
    </xf>
    <xf numFmtId="0" fontId="12" fillId="3" borderId="2" xfId="0" applyFont="1" applyFill="1" applyBorder="1" applyAlignment="1"/>
    <xf numFmtId="43" fontId="12" fillId="3" borderId="2" xfId="1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43" fontId="19" fillId="3" borderId="2" xfId="1" applyFont="1" applyFill="1" applyBorder="1" applyAlignment="1">
      <alignment vertical="center" wrapText="1"/>
    </xf>
    <xf numFmtId="43" fontId="19" fillId="3" borderId="2" xfId="1" applyFont="1" applyFill="1" applyBorder="1" applyAlignment="1">
      <alignment vertical="center"/>
    </xf>
    <xf numFmtId="0" fontId="0" fillId="3" borderId="0" xfId="0" applyFill="1" applyBorder="1" applyAlignment="1"/>
    <xf numFmtId="43" fontId="8" fillId="3" borderId="0" xfId="1" applyFont="1" applyFill="1" applyBorder="1"/>
    <xf numFmtId="43" fontId="8" fillId="3" borderId="0" xfId="0" applyNumberFormat="1" applyFont="1" applyFill="1" applyBorder="1"/>
    <xf numFmtId="43" fontId="0" fillId="3" borderId="0" xfId="0" applyNumberFormat="1" applyFill="1" applyBorder="1"/>
    <xf numFmtId="0" fontId="0" fillId="3" borderId="0" xfId="0" applyFill="1" applyAlignment="1"/>
    <xf numFmtId="0" fontId="19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43" fontId="20" fillId="3" borderId="0" xfId="1" applyFont="1" applyFill="1" applyBorder="1" applyAlignment="1">
      <alignment vertical="center" wrapText="1"/>
    </xf>
    <xf numFmtId="43" fontId="20" fillId="3" borderId="0" xfId="1" applyFont="1" applyFill="1" applyBorder="1"/>
    <xf numFmtId="0" fontId="20" fillId="3" borderId="0" xfId="0" applyFont="1" applyFill="1" applyBorder="1" applyAlignment="1"/>
    <xf numFmtId="43" fontId="19" fillId="3" borderId="0" xfId="1" applyFont="1" applyFill="1" applyBorder="1" applyAlignment="1">
      <alignment vertical="center" wrapText="1"/>
    </xf>
    <xf numFmtId="43" fontId="19" fillId="3" borderId="0" xfId="1" applyFont="1" applyFill="1" applyBorder="1"/>
    <xf numFmtId="0" fontId="0" fillId="3" borderId="0" xfId="0" applyFill="1" applyBorder="1"/>
    <xf numFmtId="0" fontId="3" fillId="3" borderId="0" xfId="0" applyFont="1" applyFill="1" applyBorder="1" applyAlignment="1"/>
    <xf numFmtId="0" fontId="3" fillId="3" borderId="0" xfId="0" applyFont="1" applyFill="1" applyBorder="1"/>
    <xf numFmtId="0" fontId="8" fillId="3" borderId="0" xfId="0" applyFont="1" applyFill="1" applyBorder="1"/>
    <xf numFmtId="0" fontId="21" fillId="0" borderId="0" xfId="0" applyFont="1" applyAlignment="1">
      <alignment horizontal="center"/>
    </xf>
    <xf numFmtId="0" fontId="19" fillId="0" borderId="2" xfId="0" applyFont="1" applyBorder="1" applyAlignment="1">
      <alignment vertical="center"/>
    </xf>
    <xf numFmtId="43" fontId="19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3" fontId="20" fillId="0" borderId="2" xfId="1" applyFont="1" applyBorder="1"/>
    <xf numFmtId="43" fontId="20" fillId="0" borderId="2" xfId="0" applyNumberFormat="1" applyFont="1" applyBorder="1"/>
    <xf numFmtId="43" fontId="19" fillId="0" borderId="2" xfId="1" applyFont="1" applyFill="1" applyBorder="1" applyAlignment="1">
      <alignment horizontal="center" vertical="center" wrapText="1"/>
    </xf>
    <xf numFmtId="0" fontId="0" fillId="0" borderId="2" xfId="0" applyBorder="1"/>
    <xf numFmtId="43" fontId="19" fillId="0" borderId="2" xfId="1" applyFont="1" applyBorder="1"/>
    <xf numFmtId="43" fontId="19" fillId="0" borderId="2" xfId="0" applyNumberFormat="1" applyFont="1" applyBorder="1"/>
    <xf numFmtId="0" fontId="22" fillId="3" borderId="0" xfId="0" applyFont="1" applyFill="1" applyAlignment="1">
      <alignment horizontal="left"/>
    </xf>
    <xf numFmtId="43" fontId="23" fillId="3" borderId="0" xfId="1" applyFont="1" applyFill="1"/>
    <xf numFmtId="0" fontId="23" fillId="3" borderId="0" xfId="0" applyFont="1" applyFill="1"/>
    <xf numFmtId="0" fontId="22" fillId="3" borderId="2" xfId="0" applyFont="1" applyFill="1" applyBorder="1" applyAlignment="1">
      <alignment horizontal="center" vertical="center" wrapText="1"/>
    </xf>
    <xf numFmtId="43" fontId="22" fillId="3" borderId="2" xfId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/>
    </xf>
    <xf numFmtId="49" fontId="23" fillId="3" borderId="2" xfId="1" applyNumberFormat="1" applyFont="1" applyFill="1" applyBorder="1" applyAlignment="1">
      <alignment horizontal="right"/>
    </xf>
    <xf numFmtId="0" fontId="23" fillId="3" borderId="2" xfId="0" applyFont="1" applyFill="1" applyBorder="1"/>
    <xf numFmtId="43" fontId="23" fillId="3" borderId="2" xfId="1" applyFont="1" applyFill="1" applyBorder="1"/>
    <xf numFmtId="0" fontId="0" fillId="3" borderId="2" xfId="0" applyFill="1" applyBorder="1"/>
    <xf numFmtId="43" fontId="0" fillId="3" borderId="2" xfId="1" applyFont="1" applyFill="1" applyBorder="1"/>
    <xf numFmtId="0" fontId="24" fillId="3" borderId="0" xfId="0" applyFont="1" applyFill="1" applyBorder="1" applyAlignment="1">
      <alignment horizontal="left"/>
    </xf>
    <xf numFmtId="43" fontId="23" fillId="3" borderId="0" xfId="1" applyFont="1" applyFill="1" applyBorder="1"/>
    <xf numFmtId="0" fontId="23" fillId="3" borderId="0" xfId="0" applyFont="1" applyFill="1" applyBorder="1"/>
    <xf numFmtId="43" fontId="0" fillId="0" borderId="0" xfId="1" applyFont="1"/>
    <xf numFmtId="0" fontId="24" fillId="3" borderId="0" xfId="0" applyFont="1" applyFill="1" applyAlignment="1">
      <alignment horizontal="left"/>
    </xf>
    <xf numFmtId="49" fontId="0" fillId="0" borderId="0" xfId="1" applyNumberFormat="1" applyFont="1"/>
    <xf numFmtId="43" fontId="22" fillId="3" borderId="0" xfId="1" applyFont="1" applyFill="1"/>
    <xf numFmtId="0" fontId="22" fillId="3" borderId="0" xfId="0" applyFont="1" applyFill="1"/>
    <xf numFmtId="0" fontId="23" fillId="3" borderId="0" xfId="0" applyFont="1" applyFill="1" applyAlignment="1">
      <alignment horizontal="left"/>
    </xf>
    <xf numFmtId="43" fontId="23" fillId="3" borderId="0" xfId="0" applyNumberFormat="1" applyFont="1" applyFill="1"/>
    <xf numFmtId="0" fontId="22" fillId="3" borderId="2" xfId="0" applyFont="1" applyFill="1" applyBorder="1" applyAlignment="1">
      <alignment horizontal="left" vertical="center" wrapText="1"/>
    </xf>
    <xf numFmtId="43" fontId="22" fillId="3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3" fontId="23" fillId="3" borderId="2" xfId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43" fontId="25" fillId="3" borderId="2" xfId="1" applyFont="1" applyFill="1" applyBorder="1"/>
    <xf numFmtId="49" fontId="25" fillId="3" borderId="2" xfId="1" applyNumberFormat="1" applyFont="1" applyFill="1" applyBorder="1" applyAlignment="1">
      <alignment horizontal="right"/>
    </xf>
    <xf numFmtId="49" fontId="23" fillId="3" borderId="2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3" fillId="3" borderId="2" xfId="1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top" wrapText="1"/>
    </xf>
    <xf numFmtId="43" fontId="1" fillId="0" borderId="2" xfId="1" applyFont="1" applyBorder="1"/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3" fontId="8" fillId="0" borderId="2" xfId="1" applyFont="1" applyBorder="1"/>
    <xf numFmtId="0" fontId="9" fillId="3" borderId="2" xfId="0" applyFont="1" applyFill="1" applyBorder="1" applyAlignment="1">
      <alignment horizontal="center"/>
    </xf>
    <xf numFmtId="0" fontId="15" fillId="3" borderId="2" xfId="2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 vertical="center"/>
    </xf>
    <xf numFmtId="43" fontId="12" fillId="3" borderId="4" xfId="1" applyFont="1" applyFill="1" applyBorder="1" applyAlignment="1">
      <alignment horizontal="center" vertical="center"/>
    </xf>
    <xf numFmtId="43" fontId="12" fillId="3" borderId="8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2" fillId="0" borderId="0" xfId="0" applyNumberFormat="1" applyFont="1"/>
  </cellXfs>
  <cellStyles count="4">
    <cellStyle name="Comma" xfId="1" builtinId="3"/>
    <cellStyle name="Heading 1" xfId="2" builtinId="1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6"/>
  <sheetViews>
    <sheetView tabSelected="1" workbookViewId="0">
      <selection activeCell="A2" sqref="A2:E20"/>
    </sheetView>
  </sheetViews>
  <sheetFormatPr defaultRowHeight="18.75" x14ac:dyDescent="0.3"/>
  <cols>
    <col min="1" max="1" width="6.7109375" style="1" customWidth="1"/>
    <col min="2" max="2" width="50.42578125" style="1" customWidth="1"/>
    <col min="3" max="3" width="29" style="5" customWidth="1"/>
    <col min="4" max="5" width="21.7109375" style="1" bestFit="1" customWidth="1"/>
    <col min="6" max="6" width="9.140625" style="1"/>
    <col min="7" max="7" width="12.7109375" style="1" bestFit="1" customWidth="1"/>
    <col min="8" max="16384" width="9.140625" style="1"/>
  </cols>
  <sheetData>
    <row r="2" spans="1:5" ht="21" x14ac:dyDescent="0.35">
      <c r="A2" s="16"/>
      <c r="B2" s="132" t="s">
        <v>23</v>
      </c>
      <c r="C2" s="132"/>
      <c r="D2" s="132"/>
      <c r="E2" s="17"/>
    </row>
    <row r="3" spans="1:5" ht="21" x14ac:dyDescent="0.35">
      <c r="A3" s="17"/>
      <c r="B3" s="18" t="s">
        <v>24</v>
      </c>
      <c r="C3" s="19">
        <v>2026</v>
      </c>
      <c r="D3" s="20">
        <v>2027</v>
      </c>
      <c r="E3" s="20">
        <v>2028</v>
      </c>
    </row>
    <row r="4" spans="1:5" ht="21" x14ac:dyDescent="0.35">
      <c r="A4" s="17">
        <v>1</v>
      </c>
      <c r="B4" s="17" t="s">
        <v>25</v>
      </c>
      <c r="C4" s="21">
        <v>4863405</v>
      </c>
      <c r="D4" s="21">
        <v>5231785</v>
      </c>
      <c r="E4" s="21">
        <v>5645001</v>
      </c>
    </row>
    <row r="5" spans="1:5" ht="21" x14ac:dyDescent="0.35">
      <c r="A5" s="17">
        <v>2</v>
      </c>
      <c r="B5" s="17" t="s">
        <v>26</v>
      </c>
      <c r="C5" s="21">
        <v>3980266</v>
      </c>
      <c r="D5" s="21">
        <v>4099674</v>
      </c>
      <c r="E5" s="21">
        <v>4222664</v>
      </c>
    </row>
    <row r="6" spans="1:5" ht="21" x14ac:dyDescent="0.35">
      <c r="A6" s="17">
        <v>3</v>
      </c>
      <c r="B6" s="17" t="s">
        <v>27</v>
      </c>
      <c r="C6" s="21">
        <v>1439845</v>
      </c>
      <c r="D6" s="21">
        <v>1483040</v>
      </c>
      <c r="E6" s="21">
        <v>1527532</v>
      </c>
    </row>
    <row r="7" spans="1:5" ht="21" x14ac:dyDescent="0.35">
      <c r="A7" s="17"/>
      <c r="B7" s="22" t="s">
        <v>28</v>
      </c>
      <c r="C7" s="23">
        <f>SUM(C4:C6)</f>
        <v>10283516</v>
      </c>
      <c r="D7" s="23">
        <f>SUM(D4:D6)</f>
        <v>10814499</v>
      </c>
      <c r="E7" s="23">
        <f>SUM(E4:E6)</f>
        <v>11395197</v>
      </c>
    </row>
    <row r="8" spans="1:5" ht="21" x14ac:dyDescent="0.35">
      <c r="A8" s="17">
        <v>4</v>
      </c>
      <c r="B8" s="17" t="s">
        <v>29</v>
      </c>
      <c r="C8" s="23">
        <v>4600000</v>
      </c>
      <c r="D8" s="21">
        <v>4600000</v>
      </c>
      <c r="E8" s="21">
        <v>4600000</v>
      </c>
    </row>
    <row r="9" spans="1:5" ht="21" x14ac:dyDescent="0.35">
      <c r="A9" s="17"/>
      <c r="B9" s="22" t="s">
        <v>9</v>
      </c>
      <c r="C9" s="23">
        <f>C7+C8</f>
        <v>14883516</v>
      </c>
      <c r="D9" s="23">
        <f>D7+D8</f>
        <v>15414499</v>
      </c>
      <c r="E9" s="23">
        <f>SUM(E7:E8)</f>
        <v>15995197</v>
      </c>
    </row>
    <row r="10" spans="1:5" ht="21" x14ac:dyDescent="0.35">
      <c r="A10" s="17">
        <v>5</v>
      </c>
      <c r="B10" s="17" t="s">
        <v>30</v>
      </c>
      <c r="C10" s="21">
        <v>1398314</v>
      </c>
      <c r="D10" s="21">
        <v>1506758</v>
      </c>
      <c r="E10" s="21">
        <v>1514221</v>
      </c>
    </row>
    <row r="11" spans="1:5" ht="21" x14ac:dyDescent="0.35">
      <c r="A11" s="17"/>
      <c r="B11" s="22" t="s">
        <v>31</v>
      </c>
      <c r="C11" s="23">
        <v>16281831</v>
      </c>
      <c r="D11" s="23">
        <f>D9+D10+249999</f>
        <v>17171256</v>
      </c>
      <c r="E11" s="23">
        <f>SUM(E9:E10)+200000</f>
        <v>17709418</v>
      </c>
    </row>
    <row r="12" spans="1:5" ht="21" x14ac:dyDescent="0.35">
      <c r="A12" s="17"/>
      <c r="B12" s="17"/>
      <c r="C12" s="17"/>
      <c r="D12" s="17"/>
      <c r="E12" s="17"/>
    </row>
    <row r="13" spans="1:5" ht="21" x14ac:dyDescent="0.35">
      <c r="A13" s="17"/>
      <c r="B13" s="17"/>
      <c r="C13" s="17"/>
      <c r="D13" s="17"/>
      <c r="E13" s="17"/>
    </row>
    <row r="14" spans="1:5" ht="21" x14ac:dyDescent="0.35">
      <c r="A14" s="17"/>
      <c r="B14" s="22" t="s">
        <v>32</v>
      </c>
      <c r="C14" s="24">
        <v>2026</v>
      </c>
      <c r="D14" s="20">
        <v>2027</v>
      </c>
      <c r="E14" s="20">
        <v>2028</v>
      </c>
    </row>
    <row r="15" spans="1:5" ht="21" x14ac:dyDescent="0.35">
      <c r="A15" s="17">
        <v>1</v>
      </c>
      <c r="B15" s="17" t="s">
        <v>33</v>
      </c>
      <c r="C15" s="21">
        <f>7075466-542223</f>
        <v>6533243</v>
      </c>
      <c r="D15" s="21">
        <v>6565909</v>
      </c>
      <c r="E15" s="21">
        <v>6598738</v>
      </c>
    </row>
    <row r="16" spans="1:5" ht="21" x14ac:dyDescent="0.35">
      <c r="A16" s="17">
        <v>2</v>
      </c>
      <c r="B16" s="17" t="s">
        <v>34</v>
      </c>
      <c r="C16" s="21">
        <v>2000000</v>
      </c>
      <c r="D16" s="21">
        <v>2000000</v>
      </c>
      <c r="E16" s="21">
        <v>2250000</v>
      </c>
    </row>
    <row r="17" spans="1:5" ht="21" x14ac:dyDescent="0.35">
      <c r="A17" s="17">
        <v>3</v>
      </c>
      <c r="B17" s="17" t="s">
        <v>35</v>
      </c>
      <c r="C17" s="21">
        <v>320000</v>
      </c>
      <c r="D17" s="21">
        <v>320000</v>
      </c>
      <c r="E17" s="21">
        <v>394244</v>
      </c>
    </row>
    <row r="18" spans="1:5" ht="21" x14ac:dyDescent="0.35">
      <c r="A18" s="17">
        <v>4</v>
      </c>
      <c r="B18" s="17" t="s">
        <v>36</v>
      </c>
      <c r="C18" s="21">
        <v>1100000</v>
      </c>
      <c r="D18" s="21">
        <v>1100000</v>
      </c>
      <c r="E18" s="21">
        <v>1200000</v>
      </c>
    </row>
    <row r="19" spans="1:5" ht="21" x14ac:dyDescent="0.35">
      <c r="A19" s="17">
        <v>5</v>
      </c>
      <c r="B19" s="17" t="s">
        <v>37</v>
      </c>
      <c r="C19" s="21">
        <v>6328588</v>
      </c>
      <c r="D19" s="21">
        <v>7185347</v>
      </c>
      <c r="E19" s="21">
        <v>7266436</v>
      </c>
    </row>
    <row r="20" spans="1:5" ht="21" x14ac:dyDescent="0.35">
      <c r="A20" s="17"/>
      <c r="B20" s="22" t="s">
        <v>9</v>
      </c>
      <c r="C20" s="23">
        <f>SUM(C15:C19)</f>
        <v>16281831</v>
      </c>
      <c r="D20" s="25">
        <f>SUM(D15:D19)</f>
        <v>17171256</v>
      </c>
      <c r="E20" s="25">
        <f>SUM(E15:E19)</f>
        <v>17709418</v>
      </c>
    </row>
    <row r="21" spans="1:5" x14ac:dyDescent="0.3">
      <c r="D21" s="146"/>
      <c r="E21" s="146"/>
    </row>
    <row r="33" spans="1:5" x14ac:dyDescent="0.3">
      <c r="A33"/>
      <c r="B33" s="6" t="s">
        <v>22</v>
      </c>
      <c r="C33" s="6">
        <v>2026</v>
      </c>
      <c r="D33" s="6">
        <v>2027</v>
      </c>
      <c r="E33" s="6">
        <v>2028</v>
      </c>
    </row>
    <row r="34" spans="1:5" x14ac:dyDescent="0.3">
      <c r="A34" s="9">
        <v>1</v>
      </c>
      <c r="B34" s="10" t="s">
        <v>0</v>
      </c>
      <c r="C34" s="7">
        <v>144906.99300000002</v>
      </c>
      <c r="D34" s="8">
        <v>144906.99300000002</v>
      </c>
      <c r="E34" s="8">
        <v>144906.99300000002</v>
      </c>
    </row>
    <row r="35" spans="1:5" x14ac:dyDescent="0.3">
      <c r="A35" s="9">
        <v>2</v>
      </c>
      <c r="B35" s="11" t="s">
        <v>1</v>
      </c>
      <c r="C35" s="8">
        <v>22337.217000000001</v>
      </c>
      <c r="D35" s="8">
        <v>22337.217000000001</v>
      </c>
      <c r="E35" s="8">
        <v>22337.217000000001</v>
      </c>
    </row>
    <row r="36" spans="1:5" x14ac:dyDescent="0.3">
      <c r="A36" s="9">
        <v>3</v>
      </c>
      <c r="B36" s="12" t="s">
        <v>2</v>
      </c>
      <c r="C36" s="8">
        <v>255570.93449999997</v>
      </c>
      <c r="D36" s="8">
        <v>255570.93449999997</v>
      </c>
      <c r="E36" s="8">
        <v>255570.93449999997</v>
      </c>
    </row>
    <row r="37" spans="1:5" x14ac:dyDescent="0.3">
      <c r="A37" s="9">
        <v>4</v>
      </c>
      <c r="B37" s="12" t="s">
        <v>3</v>
      </c>
      <c r="C37" s="8">
        <v>269342.21474999998</v>
      </c>
      <c r="D37" s="8">
        <f>269342.21475+32666</f>
        <v>302008.21474999998</v>
      </c>
      <c r="E37" s="8">
        <f>269342.21475+32666</f>
        <v>302008.21474999998</v>
      </c>
    </row>
    <row r="38" spans="1:5" x14ac:dyDescent="0.3">
      <c r="A38" s="9">
        <v>5</v>
      </c>
      <c r="B38" s="12" t="s">
        <v>4</v>
      </c>
      <c r="C38" s="8">
        <v>62670.068999999996</v>
      </c>
      <c r="D38" s="8">
        <v>62670.068999999996</v>
      </c>
      <c r="E38" s="8">
        <v>62670.068999999996</v>
      </c>
    </row>
    <row r="39" spans="1:5" x14ac:dyDescent="0.3">
      <c r="A39" s="9">
        <v>6</v>
      </c>
      <c r="B39" s="12" t="s">
        <v>5</v>
      </c>
      <c r="C39" s="8">
        <v>40900.985999999997</v>
      </c>
      <c r="D39" s="8">
        <v>40900.985999999997</v>
      </c>
      <c r="E39" s="8">
        <v>40900.985999999997</v>
      </c>
    </row>
    <row r="40" spans="1:5" x14ac:dyDescent="0.3">
      <c r="A40" s="9">
        <v>7</v>
      </c>
      <c r="B40" s="12" t="s">
        <v>6</v>
      </c>
      <c r="C40" s="8">
        <v>198079.98083999997</v>
      </c>
      <c r="D40" s="8">
        <v>198079.98083999997</v>
      </c>
      <c r="E40" s="8">
        <v>198079.98083999997</v>
      </c>
    </row>
    <row r="41" spans="1:5" x14ac:dyDescent="0.3">
      <c r="A41" s="9">
        <v>8</v>
      </c>
      <c r="B41" s="13" t="s">
        <v>10</v>
      </c>
      <c r="C41" s="8">
        <v>117592.36335</v>
      </c>
      <c r="D41" s="8">
        <v>117592.36335</v>
      </c>
      <c r="E41" s="8">
        <v>119592.36335</v>
      </c>
    </row>
    <row r="42" spans="1:5" x14ac:dyDescent="0.3">
      <c r="A42" s="9">
        <v>9</v>
      </c>
      <c r="B42" s="13" t="s">
        <v>11</v>
      </c>
      <c r="C42" s="8">
        <v>96159.766499999998</v>
      </c>
      <c r="D42" s="8">
        <v>96159.766499999998</v>
      </c>
      <c r="E42" s="8">
        <v>96159.766499999998</v>
      </c>
    </row>
    <row r="43" spans="1:5" x14ac:dyDescent="0.3">
      <c r="A43" s="9">
        <v>10</v>
      </c>
      <c r="B43" s="12" t="s">
        <v>17</v>
      </c>
      <c r="C43" s="8">
        <v>79180.100999999995</v>
      </c>
      <c r="D43" s="8">
        <v>79180.100999999995</v>
      </c>
      <c r="E43" s="8">
        <v>79180.100999999995</v>
      </c>
    </row>
    <row r="44" spans="1:5" x14ac:dyDescent="0.3">
      <c r="A44" s="9">
        <v>11</v>
      </c>
      <c r="B44" s="12" t="s">
        <v>18</v>
      </c>
      <c r="C44" s="8">
        <v>49210.10325</v>
      </c>
      <c r="D44" s="8">
        <v>49210.10325</v>
      </c>
      <c r="E44" s="8">
        <v>49210.10325</v>
      </c>
    </row>
    <row r="45" spans="1:5" x14ac:dyDescent="0.3">
      <c r="A45" s="9">
        <v>12</v>
      </c>
      <c r="B45" s="12" t="s">
        <v>12</v>
      </c>
      <c r="C45" s="8">
        <v>60052.608</v>
      </c>
      <c r="D45" s="8">
        <v>60052.608</v>
      </c>
      <c r="E45" s="8">
        <v>60052.608</v>
      </c>
    </row>
    <row r="46" spans="1:5" x14ac:dyDescent="0.3">
      <c r="A46" s="9">
        <v>13</v>
      </c>
      <c r="B46" s="14" t="s">
        <v>13</v>
      </c>
      <c r="C46" s="8">
        <v>70283.020499999984</v>
      </c>
      <c r="D46" s="8">
        <v>70283.020499999984</v>
      </c>
      <c r="E46" s="8">
        <v>70283.020499999984</v>
      </c>
    </row>
    <row r="47" spans="1:5" x14ac:dyDescent="0.3">
      <c r="A47" s="9">
        <v>14</v>
      </c>
      <c r="B47" s="14" t="s">
        <v>14</v>
      </c>
      <c r="C47" s="8">
        <v>50580.337500000001</v>
      </c>
      <c r="D47" s="8">
        <v>50580.337500000001</v>
      </c>
      <c r="E47" s="8">
        <v>50580.337500000001</v>
      </c>
    </row>
    <row r="48" spans="1:5" x14ac:dyDescent="0.3">
      <c r="A48" s="9">
        <v>15</v>
      </c>
      <c r="B48" s="15" t="s">
        <v>7</v>
      </c>
      <c r="C48" s="8">
        <v>55979.298900000002</v>
      </c>
      <c r="D48" s="8">
        <v>55979.298900000002</v>
      </c>
      <c r="E48" s="8">
        <v>55979.298900000002</v>
      </c>
    </row>
    <row r="49" spans="1:5" x14ac:dyDescent="0.3">
      <c r="A49" s="9">
        <v>16</v>
      </c>
      <c r="B49" s="12" t="s">
        <v>15</v>
      </c>
      <c r="C49" s="8">
        <f>1153920.76905042+14000</f>
        <v>1167920.76905042</v>
      </c>
      <c r="D49" s="8">
        <f>1153920.76905042+14000</f>
        <v>1167920.76905042</v>
      </c>
      <c r="E49" s="8">
        <f>1153920.76905042+14000+30829</f>
        <v>1198749.76905042</v>
      </c>
    </row>
    <row r="50" spans="1:5" x14ac:dyDescent="0.3">
      <c r="A50" s="9">
        <v>18</v>
      </c>
      <c r="B50" s="12" t="s">
        <v>16</v>
      </c>
      <c r="C50" s="8">
        <v>101900.62574999999</v>
      </c>
      <c r="D50" s="8">
        <v>101900.62574999999</v>
      </c>
      <c r="E50" s="8">
        <v>101900.62574999999</v>
      </c>
    </row>
    <row r="51" spans="1:5" x14ac:dyDescent="0.3">
      <c r="A51" s="9">
        <v>19</v>
      </c>
      <c r="B51" s="12" t="s">
        <v>8</v>
      </c>
      <c r="C51" s="8">
        <v>85184.047620000012</v>
      </c>
      <c r="D51" s="8">
        <v>85184.047620000012</v>
      </c>
      <c r="E51" s="8">
        <v>85184.047620000012</v>
      </c>
    </row>
    <row r="52" spans="1:5" x14ac:dyDescent="0.3">
      <c r="A52" s="9">
        <v>20</v>
      </c>
      <c r="B52" s="12" t="s">
        <v>21</v>
      </c>
      <c r="C52" s="8">
        <v>68001.935400000002</v>
      </c>
      <c r="D52" s="8">
        <v>68001.935400000002</v>
      </c>
      <c r="E52" s="8">
        <v>68001.935400000002</v>
      </c>
    </row>
    <row r="53" spans="1:5" x14ac:dyDescent="0.3">
      <c r="A53" s="9">
        <v>21</v>
      </c>
      <c r="B53" s="12" t="s">
        <v>19</v>
      </c>
      <c r="C53" s="8">
        <v>290360.06999999995</v>
      </c>
      <c r="D53" s="8">
        <v>290360.06999999995</v>
      </c>
      <c r="E53" s="8">
        <v>290360.06999999995</v>
      </c>
    </row>
    <row r="54" spans="1:5" x14ac:dyDescent="0.3">
      <c r="A54" s="9">
        <v>22</v>
      </c>
      <c r="B54" s="12" t="s">
        <v>20</v>
      </c>
      <c r="C54" s="8">
        <f>2654244.509175-124642.9</f>
        <v>2529601.6091749999</v>
      </c>
      <c r="D54" s="8">
        <f>2654244.509175-124642.9</f>
        <v>2529601.6091749999</v>
      </c>
      <c r="E54" s="8">
        <f>2654244.509175-124642.9</f>
        <v>2529601.6091749999</v>
      </c>
    </row>
    <row r="55" spans="1:5" x14ac:dyDescent="0.3">
      <c r="A55" s="9">
        <v>23</v>
      </c>
      <c r="B55" s="12" t="s">
        <v>38</v>
      </c>
      <c r="C55" s="8">
        <f>667427.9535+50000</f>
        <v>717427.95349999995</v>
      </c>
      <c r="D55" s="8">
        <f>667427.9535+50000</f>
        <v>717427.95349999995</v>
      </c>
      <c r="E55" s="8">
        <f>667427.9535+50000</f>
        <v>717427.95349999995</v>
      </c>
    </row>
    <row r="56" spans="1:5" x14ac:dyDescent="0.3">
      <c r="A56" s="2"/>
      <c r="B56" s="3" t="s">
        <v>9</v>
      </c>
      <c r="C56" s="4">
        <f>SUM(C34:C55)</f>
        <v>6533243.0045854198</v>
      </c>
      <c r="D56" s="4">
        <f>SUM(D34:D55)</f>
        <v>6565909.0045854198</v>
      </c>
      <c r="E56" s="4">
        <f>SUM(E34:E55)</f>
        <v>6598738.0045854198</v>
      </c>
    </row>
  </sheetData>
  <mergeCells count="1">
    <mergeCell ref="B2:D2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opLeftCell="A160" workbookViewId="0">
      <selection activeCell="A124" sqref="A124:M184"/>
    </sheetView>
  </sheetViews>
  <sheetFormatPr defaultRowHeight="15" x14ac:dyDescent="0.25"/>
  <cols>
    <col min="1" max="1" width="18.140625" style="41" customWidth="1"/>
    <col min="2" max="2" width="9.85546875" style="41" customWidth="1"/>
    <col min="3" max="4" width="9.85546875" style="41" bestFit="1" customWidth="1"/>
    <col min="5" max="5" width="8.140625" style="41" bestFit="1" customWidth="1"/>
    <col min="6" max="6" width="9" style="41" bestFit="1" customWidth="1"/>
    <col min="7" max="9" width="9.85546875" style="41" bestFit="1" customWidth="1"/>
    <col min="10" max="10" width="9" style="41" bestFit="1" customWidth="1"/>
    <col min="11" max="11" width="8.140625" style="41" bestFit="1" customWidth="1"/>
    <col min="12" max="12" width="9.85546875" style="41" bestFit="1" customWidth="1"/>
    <col min="13" max="13" width="13.28515625" style="41" bestFit="1" customWidth="1"/>
    <col min="14" max="16384" width="9.140625" style="41"/>
  </cols>
  <sheetData>
    <row r="1" spans="1:13" x14ac:dyDescent="0.25">
      <c r="A1" s="133" t="s">
        <v>53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2.5" x14ac:dyDescent="0.25">
      <c r="A2" s="43" t="s">
        <v>54</v>
      </c>
      <c r="B2" s="44" t="s">
        <v>55</v>
      </c>
      <c r="C2" s="44" t="s">
        <v>52</v>
      </c>
      <c r="D2" s="44" t="s">
        <v>56</v>
      </c>
      <c r="E2" s="44" t="s">
        <v>57</v>
      </c>
      <c r="F2" s="44" t="s">
        <v>58</v>
      </c>
      <c r="G2" s="44" t="s">
        <v>59</v>
      </c>
      <c r="H2" s="44" t="s">
        <v>45</v>
      </c>
      <c r="I2" s="44" t="s">
        <v>60</v>
      </c>
      <c r="J2" s="44" t="s">
        <v>61</v>
      </c>
      <c r="K2" s="44" t="s">
        <v>62</v>
      </c>
      <c r="L2" s="44" t="s">
        <v>63</v>
      </c>
      <c r="M2" s="44" t="s">
        <v>64</v>
      </c>
    </row>
    <row r="3" spans="1:13" x14ac:dyDescent="0.25">
      <c r="A3" s="45" t="s">
        <v>65</v>
      </c>
      <c r="B3" s="46">
        <v>12000</v>
      </c>
      <c r="C3" s="46">
        <v>2000</v>
      </c>
      <c r="D3" s="46">
        <v>5000</v>
      </c>
      <c r="E3" s="46">
        <v>0</v>
      </c>
      <c r="F3" s="46"/>
      <c r="G3" s="46"/>
      <c r="H3" s="46">
        <f>500-500</f>
        <v>0</v>
      </c>
      <c r="I3" s="46"/>
      <c r="J3" s="46">
        <v>5000</v>
      </c>
      <c r="K3" s="46"/>
      <c r="L3" s="46">
        <v>1000</v>
      </c>
      <c r="M3" s="47">
        <f>B3+C3+D3+E3+F3+G3+H3+I3+J3+K3+L3</f>
        <v>25000</v>
      </c>
    </row>
    <row r="4" spans="1:13" x14ac:dyDescent="0.25">
      <c r="A4" s="45" t="s">
        <v>66</v>
      </c>
      <c r="B4" s="46"/>
      <c r="C4" s="46">
        <v>97000</v>
      </c>
      <c r="D4" s="46">
        <v>0</v>
      </c>
      <c r="E4" s="46"/>
      <c r="F4" s="46"/>
      <c r="G4" s="46"/>
      <c r="H4" s="46"/>
      <c r="I4" s="46"/>
      <c r="J4" s="46"/>
      <c r="K4" s="46"/>
      <c r="L4" s="46"/>
      <c r="M4" s="47">
        <f t="shared" ref="M4:M23" si="0">B4+C4+D4+E4+H4+I4+K4+L4</f>
        <v>97000</v>
      </c>
    </row>
    <row r="5" spans="1:13" x14ac:dyDescent="0.25">
      <c r="A5" s="45" t="s">
        <v>67</v>
      </c>
      <c r="B5" s="46"/>
      <c r="C5" s="46">
        <v>90000</v>
      </c>
      <c r="D5" s="46">
        <v>0</v>
      </c>
      <c r="E5" s="46"/>
      <c r="F5" s="46"/>
      <c r="G5" s="46"/>
      <c r="H5" s="46"/>
      <c r="I5" s="46"/>
      <c r="J5" s="46"/>
      <c r="K5" s="46"/>
      <c r="L5" s="46"/>
      <c r="M5" s="47">
        <f t="shared" si="0"/>
        <v>90000</v>
      </c>
    </row>
    <row r="6" spans="1:13" x14ac:dyDescent="0.25">
      <c r="A6" s="45" t="s">
        <v>68</v>
      </c>
      <c r="B6" s="46"/>
      <c r="C6" s="46">
        <v>8000</v>
      </c>
      <c r="D6" s="46">
        <v>0</v>
      </c>
      <c r="E6" s="46"/>
      <c r="F6" s="46"/>
      <c r="G6" s="46"/>
      <c r="H6" s="46"/>
      <c r="I6" s="46"/>
      <c r="J6" s="46"/>
      <c r="K6" s="46"/>
      <c r="L6" s="46"/>
      <c r="M6" s="47">
        <f t="shared" si="0"/>
        <v>8000</v>
      </c>
    </row>
    <row r="7" spans="1:13" ht="23.25" x14ac:dyDescent="0.25">
      <c r="A7" s="45" t="s">
        <v>69</v>
      </c>
      <c r="B7" s="46"/>
      <c r="C7" s="46">
        <v>2000</v>
      </c>
      <c r="D7" s="46">
        <v>0</v>
      </c>
      <c r="E7" s="46"/>
      <c r="F7" s="46"/>
      <c r="G7" s="46"/>
      <c r="H7" s="46"/>
      <c r="I7" s="46"/>
      <c r="J7" s="46"/>
      <c r="K7" s="46"/>
      <c r="L7" s="46"/>
      <c r="M7" s="47">
        <f t="shared" si="0"/>
        <v>2000</v>
      </c>
    </row>
    <row r="8" spans="1:13" ht="23.25" x14ac:dyDescent="0.25">
      <c r="A8" s="45" t="s">
        <v>70</v>
      </c>
      <c r="B8" s="46"/>
      <c r="C8" s="46">
        <v>1000</v>
      </c>
      <c r="D8" s="46">
        <v>0</v>
      </c>
      <c r="E8" s="46"/>
      <c r="F8" s="46"/>
      <c r="G8" s="46"/>
      <c r="H8" s="46"/>
      <c r="I8" s="46"/>
      <c r="J8" s="46"/>
      <c r="K8" s="46"/>
      <c r="L8" s="46"/>
      <c r="M8" s="47">
        <f t="shared" si="0"/>
        <v>1000</v>
      </c>
    </row>
    <row r="9" spans="1:13" x14ac:dyDescent="0.25">
      <c r="A9" s="45" t="s">
        <v>71</v>
      </c>
      <c r="B9" s="46"/>
      <c r="C9" s="46">
        <v>2000</v>
      </c>
      <c r="D9" s="46"/>
      <c r="E9" s="46"/>
      <c r="F9" s="46"/>
      <c r="G9" s="46"/>
      <c r="H9" s="46"/>
      <c r="I9" s="46"/>
      <c r="J9" s="46"/>
      <c r="K9" s="46"/>
      <c r="L9" s="46"/>
      <c r="M9" s="47">
        <f t="shared" si="0"/>
        <v>2000</v>
      </c>
    </row>
    <row r="10" spans="1:13" ht="23.25" x14ac:dyDescent="0.25">
      <c r="A10" s="45" t="s">
        <v>72</v>
      </c>
      <c r="B10" s="46"/>
      <c r="C10" s="46">
        <v>5000</v>
      </c>
      <c r="D10" s="46"/>
      <c r="E10" s="46"/>
      <c r="F10" s="46"/>
      <c r="G10" s="46"/>
      <c r="H10" s="46"/>
      <c r="I10" s="46"/>
      <c r="J10" s="46"/>
      <c r="K10" s="46"/>
      <c r="L10" s="46"/>
      <c r="M10" s="47">
        <f t="shared" si="0"/>
        <v>5000</v>
      </c>
    </row>
    <row r="11" spans="1:13" x14ac:dyDescent="0.25">
      <c r="A11" s="45" t="s">
        <v>73</v>
      </c>
      <c r="B11" s="46">
        <v>25000</v>
      </c>
      <c r="C11" s="46">
        <v>10000</v>
      </c>
      <c r="D11" s="46">
        <v>20000</v>
      </c>
      <c r="E11" s="46"/>
      <c r="F11" s="46"/>
      <c r="G11" s="46"/>
      <c r="H11" s="46"/>
      <c r="I11" s="46"/>
      <c r="J11" s="46"/>
      <c r="K11" s="46"/>
      <c r="L11" s="46"/>
      <c r="M11" s="47">
        <f t="shared" si="0"/>
        <v>55000</v>
      </c>
    </row>
    <row r="12" spans="1:13" x14ac:dyDescent="0.25">
      <c r="A12" s="45" t="s">
        <v>74</v>
      </c>
      <c r="B12" s="46">
        <v>15000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7">
        <f t="shared" si="0"/>
        <v>15000</v>
      </c>
    </row>
    <row r="13" spans="1:13" ht="34.5" x14ac:dyDescent="0.25">
      <c r="A13" s="45" t="s">
        <v>75</v>
      </c>
      <c r="B13" s="46"/>
      <c r="C13" s="46"/>
      <c r="D13" s="46"/>
      <c r="E13" s="46"/>
      <c r="F13" s="46"/>
      <c r="G13" s="46"/>
      <c r="H13" s="46">
        <v>10000</v>
      </c>
      <c r="I13" s="46"/>
      <c r="J13" s="46"/>
      <c r="K13" s="46"/>
      <c r="L13" s="46"/>
      <c r="M13" s="47">
        <f t="shared" si="0"/>
        <v>10000</v>
      </c>
    </row>
    <row r="14" spans="1:13" ht="23.25" x14ac:dyDescent="0.25">
      <c r="A14" s="45" t="s">
        <v>76</v>
      </c>
      <c r="B14" s="46">
        <v>10000</v>
      </c>
      <c r="C14" s="46">
        <v>1000</v>
      </c>
      <c r="D14" s="46">
        <v>5000</v>
      </c>
      <c r="E14" s="46"/>
      <c r="F14" s="46"/>
      <c r="G14" s="46"/>
      <c r="H14" s="46"/>
      <c r="I14" s="46"/>
      <c r="J14" s="46"/>
      <c r="K14" s="46"/>
      <c r="L14" s="46"/>
      <c r="M14" s="47">
        <f t="shared" si="0"/>
        <v>16000</v>
      </c>
    </row>
    <row r="15" spans="1:13" x14ac:dyDescent="0.25">
      <c r="A15" s="45" t="s">
        <v>77</v>
      </c>
      <c r="B15" s="46">
        <v>500</v>
      </c>
      <c r="C15" s="46">
        <v>500</v>
      </c>
      <c r="D15" s="46">
        <v>500</v>
      </c>
      <c r="E15" s="46"/>
      <c r="F15" s="46"/>
      <c r="G15" s="46"/>
      <c r="H15" s="46"/>
      <c r="I15" s="46"/>
      <c r="J15" s="46"/>
      <c r="K15" s="46"/>
      <c r="L15" s="46"/>
      <c r="M15" s="47">
        <f t="shared" si="0"/>
        <v>1500</v>
      </c>
    </row>
    <row r="16" spans="1:13" x14ac:dyDescent="0.25">
      <c r="A16" s="45" t="s">
        <v>78</v>
      </c>
      <c r="B16" s="46"/>
      <c r="C16" s="46">
        <v>8000</v>
      </c>
      <c r="D16" s="46"/>
      <c r="E16" s="46"/>
      <c r="F16" s="46"/>
      <c r="G16" s="46"/>
      <c r="H16" s="46">
        <v>40000</v>
      </c>
      <c r="I16" s="46"/>
      <c r="J16" s="46"/>
      <c r="K16" s="46"/>
      <c r="L16" s="46"/>
      <c r="M16" s="47">
        <f t="shared" si="0"/>
        <v>48000</v>
      </c>
    </row>
    <row r="17" spans="1:13" ht="23.25" x14ac:dyDescent="0.25">
      <c r="A17" s="45" t="s">
        <v>79</v>
      </c>
      <c r="B17" s="46"/>
      <c r="C17" s="46">
        <v>3000</v>
      </c>
      <c r="D17" s="46">
        <v>2000</v>
      </c>
      <c r="E17" s="46"/>
      <c r="F17" s="46"/>
      <c r="G17" s="46"/>
      <c r="H17" s="46">
        <v>2000</v>
      </c>
      <c r="I17" s="46"/>
      <c r="J17" s="46"/>
      <c r="K17" s="46"/>
      <c r="L17" s="46"/>
      <c r="M17" s="47">
        <f t="shared" si="0"/>
        <v>7000</v>
      </c>
    </row>
    <row r="18" spans="1:13" x14ac:dyDescent="0.25">
      <c r="A18" s="45" t="s">
        <v>80</v>
      </c>
      <c r="B18" s="46"/>
      <c r="C18" s="46"/>
      <c r="D18" s="46"/>
      <c r="E18" s="46"/>
      <c r="F18" s="46"/>
      <c r="G18" s="46"/>
      <c r="H18" s="46">
        <v>7000</v>
      </c>
      <c r="I18" s="46"/>
      <c r="J18" s="46"/>
      <c r="K18" s="46"/>
      <c r="L18" s="46"/>
      <c r="M18" s="47">
        <f t="shared" si="0"/>
        <v>7000</v>
      </c>
    </row>
    <row r="19" spans="1:13" ht="23.25" x14ac:dyDescent="0.25">
      <c r="A19" s="45" t="s">
        <v>81</v>
      </c>
      <c r="B19" s="46"/>
      <c r="C19" s="46">
        <v>1500</v>
      </c>
      <c r="D19" s="46">
        <v>2000</v>
      </c>
      <c r="E19" s="46"/>
      <c r="F19" s="46"/>
      <c r="G19" s="46"/>
      <c r="H19" s="46">
        <v>15000</v>
      </c>
      <c r="I19" s="46"/>
      <c r="J19" s="46"/>
      <c r="K19" s="46"/>
      <c r="L19" s="46"/>
      <c r="M19" s="47">
        <f t="shared" si="0"/>
        <v>18500</v>
      </c>
    </row>
    <row r="20" spans="1:13" x14ac:dyDescent="0.25">
      <c r="A20" s="45" t="s">
        <v>82</v>
      </c>
      <c r="B20" s="46"/>
      <c r="C20" s="46"/>
      <c r="D20" s="46"/>
      <c r="E20" s="46"/>
      <c r="F20" s="46"/>
      <c r="G20" s="46"/>
      <c r="H20" s="46">
        <v>30000</v>
      </c>
      <c r="I20" s="46"/>
      <c r="J20" s="46"/>
      <c r="K20" s="46"/>
      <c r="L20" s="46"/>
      <c r="M20" s="47">
        <f t="shared" si="0"/>
        <v>30000</v>
      </c>
    </row>
    <row r="21" spans="1:13" ht="23.25" x14ac:dyDescent="0.25">
      <c r="A21" s="45" t="s">
        <v>83</v>
      </c>
      <c r="B21" s="46"/>
      <c r="C21" s="46"/>
      <c r="D21" s="46"/>
      <c r="E21" s="46"/>
      <c r="F21" s="46"/>
      <c r="G21" s="46"/>
      <c r="H21" s="46">
        <v>10000</v>
      </c>
      <c r="I21" s="46"/>
      <c r="J21" s="46"/>
      <c r="K21" s="46"/>
      <c r="L21" s="46"/>
      <c r="M21" s="47">
        <f t="shared" si="0"/>
        <v>10000</v>
      </c>
    </row>
    <row r="22" spans="1:13" ht="23.25" x14ac:dyDescent="0.25">
      <c r="A22" s="45" t="s">
        <v>84</v>
      </c>
      <c r="B22" s="46"/>
      <c r="C22" s="46"/>
      <c r="D22" s="46"/>
      <c r="E22" s="46"/>
      <c r="F22" s="46"/>
      <c r="G22" s="49"/>
      <c r="H22" s="46">
        <v>80000</v>
      </c>
      <c r="I22" s="50"/>
      <c r="J22" s="46"/>
      <c r="K22" s="46"/>
      <c r="L22" s="46"/>
      <c r="M22" s="47">
        <f t="shared" si="0"/>
        <v>80000</v>
      </c>
    </row>
    <row r="23" spans="1:13" ht="23.25" x14ac:dyDescent="0.25">
      <c r="A23" s="45" t="s">
        <v>85</v>
      </c>
      <c r="B23" s="46"/>
      <c r="C23" s="46"/>
      <c r="D23" s="46"/>
      <c r="E23" s="46"/>
      <c r="F23" s="46"/>
      <c r="G23" s="49"/>
      <c r="H23" s="46">
        <v>50000</v>
      </c>
      <c r="I23" s="50"/>
      <c r="J23" s="46"/>
      <c r="K23" s="46"/>
      <c r="L23" s="46"/>
      <c r="M23" s="47">
        <f t="shared" si="0"/>
        <v>50000</v>
      </c>
    </row>
    <row r="24" spans="1:13" x14ac:dyDescent="0.25">
      <c r="A24" s="45" t="s">
        <v>86</v>
      </c>
      <c r="B24" s="46"/>
      <c r="C24" s="46"/>
      <c r="D24" s="46"/>
      <c r="E24" s="46"/>
      <c r="F24" s="46"/>
      <c r="G24" s="49">
        <f>200000-50000</f>
        <v>150000</v>
      </c>
      <c r="H24" s="46"/>
      <c r="I24" s="50"/>
      <c r="J24" s="46"/>
      <c r="K24" s="46"/>
      <c r="L24" s="46"/>
      <c r="M24" s="47">
        <f>SUM(B24:L24)</f>
        <v>150000</v>
      </c>
    </row>
    <row r="25" spans="1:13" x14ac:dyDescent="0.25">
      <c r="A25" s="45" t="s">
        <v>87</v>
      </c>
      <c r="B25" s="46">
        <f>2000-2000</f>
        <v>0</v>
      </c>
      <c r="C25" s="46"/>
      <c r="D25" s="46"/>
      <c r="E25" s="46">
        <v>4000</v>
      </c>
      <c r="F25" s="46"/>
      <c r="G25" s="46"/>
      <c r="H25" s="46"/>
      <c r="I25" s="46"/>
      <c r="J25" s="46"/>
      <c r="K25" s="46"/>
      <c r="L25" s="46"/>
      <c r="M25" s="47">
        <f>B25+C25+D25+E25+H25+I25+K25+L25</f>
        <v>4000</v>
      </c>
    </row>
    <row r="26" spans="1:13" ht="23.25" x14ac:dyDescent="0.25">
      <c r="A26" s="45" t="s">
        <v>88</v>
      </c>
      <c r="B26" s="46">
        <f>6000-1000-2500</f>
        <v>2500</v>
      </c>
      <c r="C26" s="46"/>
      <c r="D26" s="46">
        <v>0</v>
      </c>
      <c r="E26" s="46">
        <v>1000</v>
      </c>
      <c r="F26" s="46"/>
      <c r="G26" s="46"/>
      <c r="H26" s="46"/>
      <c r="I26" s="46"/>
      <c r="J26" s="46"/>
      <c r="K26" s="46">
        <v>1000</v>
      </c>
      <c r="L26" s="46"/>
      <c r="M26" s="47">
        <f>SUM(B26:L26)</f>
        <v>4500</v>
      </c>
    </row>
    <row r="27" spans="1:13" x14ac:dyDescent="0.25">
      <c r="A27" s="45" t="s">
        <v>89</v>
      </c>
      <c r="B27" s="46">
        <f>3000+1000-1000-1000</f>
        <v>2000</v>
      </c>
      <c r="C27" s="46"/>
      <c r="D27" s="46"/>
      <c r="E27" s="46"/>
      <c r="F27" s="46"/>
      <c r="G27" s="46"/>
      <c r="H27" s="46"/>
      <c r="I27" s="46"/>
      <c r="J27" s="46"/>
      <c r="K27" s="46">
        <v>1000</v>
      </c>
      <c r="L27" s="46"/>
      <c r="M27" s="47">
        <f>B27+C27+D27+E27+H27+I27+K27+L27</f>
        <v>3000</v>
      </c>
    </row>
    <row r="28" spans="1:13" ht="23.25" x14ac:dyDescent="0.25">
      <c r="A28" s="45" t="s">
        <v>90</v>
      </c>
      <c r="B28" s="46"/>
      <c r="C28" s="46"/>
      <c r="D28" s="46">
        <v>46935</v>
      </c>
      <c r="E28" s="46"/>
      <c r="F28" s="46"/>
      <c r="G28" s="46"/>
      <c r="H28" s="46"/>
      <c r="I28" s="46"/>
      <c r="J28" s="46"/>
      <c r="K28" s="46"/>
      <c r="L28" s="46"/>
      <c r="M28" s="47">
        <f>B28+C28+D28+E28+H28+I28+K28+L28</f>
        <v>46935</v>
      </c>
    </row>
    <row r="29" spans="1:13" ht="23.25" x14ac:dyDescent="0.25">
      <c r="A29" s="45" t="s">
        <v>91</v>
      </c>
      <c r="B29" s="46"/>
      <c r="C29" s="46"/>
      <c r="D29" s="46">
        <v>50000</v>
      </c>
      <c r="E29" s="46"/>
      <c r="F29" s="46"/>
      <c r="G29" s="46"/>
      <c r="H29" s="46"/>
      <c r="I29" s="46"/>
      <c r="J29" s="46"/>
      <c r="K29" s="46"/>
      <c r="L29" s="46"/>
      <c r="M29" s="47">
        <f>B29+C29+D29+E29+H29+I29+K29+L29</f>
        <v>50000</v>
      </c>
    </row>
    <row r="30" spans="1:13" ht="23.25" x14ac:dyDescent="0.25">
      <c r="A30" s="45" t="s">
        <v>92</v>
      </c>
      <c r="B30" s="46"/>
      <c r="C30" s="46"/>
      <c r="D30" s="46">
        <v>2250</v>
      </c>
      <c r="E30" s="46"/>
      <c r="F30" s="46"/>
      <c r="G30" s="46"/>
      <c r="H30" s="46"/>
      <c r="I30" s="46"/>
      <c r="J30" s="46"/>
      <c r="K30" s="46"/>
      <c r="L30" s="46"/>
      <c r="M30" s="47">
        <f>B30+C30+D30+E30+H30+I30+K30+L30</f>
        <v>2250</v>
      </c>
    </row>
    <row r="31" spans="1:13" ht="23.25" x14ac:dyDescent="0.25">
      <c r="A31" s="45" t="s">
        <v>93</v>
      </c>
      <c r="B31" s="46"/>
      <c r="C31" s="46"/>
      <c r="D31" s="46">
        <v>0</v>
      </c>
      <c r="E31" s="46"/>
      <c r="F31" s="46">
        <v>10000</v>
      </c>
      <c r="G31" s="46"/>
      <c r="H31" s="46"/>
      <c r="I31" s="46"/>
      <c r="J31" s="46"/>
      <c r="K31" s="46"/>
      <c r="L31" s="46"/>
      <c r="M31" s="47">
        <f>SUM(B31:L31)</f>
        <v>10000</v>
      </c>
    </row>
    <row r="32" spans="1:13" x14ac:dyDescent="0.25">
      <c r="A32" s="45" t="s">
        <v>94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>
        <v>4000</v>
      </c>
      <c r="M32" s="47">
        <f>B32+C32+D32+E32+H32+I32+K32+L32</f>
        <v>4000</v>
      </c>
    </row>
    <row r="33" spans="1:13" x14ac:dyDescent="0.25">
      <c r="A33" s="45" t="s">
        <v>95</v>
      </c>
      <c r="B33" s="46">
        <f>4500+1000</f>
        <v>5500</v>
      </c>
      <c r="C33" s="46">
        <v>500</v>
      </c>
      <c r="D33" s="46">
        <v>500</v>
      </c>
      <c r="E33" s="46">
        <v>1000</v>
      </c>
      <c r="F33" s="46">
        <v>1500</v>
      </c>
      <c r="G33" s="46"/>
      <c r="H33" s="46"/>
      <c r="I33" s="46"/>
      <c r="J33" s="46"/>
      <c r="K33" s="46">
        <v>500</v>
      </c>
      <c r="L33" s="46">
        <v>500</v>
      </c>
      <c r="M33" s="47">
        <f>SUM(B33:L33)</f>
        <v>10000</v>
      </c>
    </row>
    <row r="34" spans="1:13" x14ac:dyDescent="0.25">
      <c r="A34" s="45" t="s">
        <v>96</v>
      </c>
      <c r="B34" s="46">
        <v>80000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>
        <f>SUM(B34:L34)</f>
        <v>80000</v>
      </c>
    </row>
    <row r="35" spans="1:13" x14ac:dyDescent="0.25">
      <c r="A35" s="45" t="s">
        <v>97</v>
      </c>
      <c r="B35" s="46"/>
      <c r="C35" s="46"/>
      <c r="D35" s="46"/>
      <c r="E35" s="46"/>
      <c r="F35" s="46"/>
      <c r="G35" s="46"/>
      <c r="H35" s="46">
        <v>50000</v>
      </c>
      <c r="I35" s="46"/>
      <c r="J35" s="46"/>
      <c r="K35" s="46"/>
      <c r="L35" s="46"/>
      <c r="M35" s="47">
        <f t="shared" ref="M35:M43" si="1">B35+C35+D35+E35+H35+I35+K35+L35</f>
        <v>50000</v>
      </c>
    </row>
    <row r="36" spans="1:13" ht="36.75" customHeight="1" x14ac:dyDescent="0.25">
      <c r="A36" s="127" t="s">
        <v>98</v>
      </c>
      <c r="B36" s="46">
        <v>50000</v>
      </c>
      <c r="C36" s="46"/>
      <c r="D36" s="46"/>
      <c r="E36" s="46">
        <v>0</v>
      </c>
      <c r="F36" s="46">
        <v>0</v>
      </c>
      <c r="G36" s="46"/>
      <c r="H36" s="46"/>
      <c r="I36" s="46"/>
      <c r="J36" s="46"/>
      <c r="K36" s="46"/>
      <c r="L36" s="46">
        <f>50000-9630</f>
        <v>40370</v>
      </c>
      <c r="M36" s="47">
        <f t="shared" si="1"/>
        <v>90370</v>
      </c>
    </row>
    <row r="37" spans="1:13" ht="23.25" x14ac:dyDescent="0.25">
      <c r="A37" s="45" t="s">
        <v>99</v>
      </c>
      <c r="B37" s="46"/>
      <c r="C37" s="46"/>
      <c r="D37" s="46"/>
      <c r="E37" s="46"/>
      <c r="F37" s="46"/>
      <c r="G37" s="46"/>
      <c r="H37" s="46">
        <v>40000</v>
      </c>
      <c r="I37" s="46"/>
      <c r="J37" s="46"/>
      <c r="K37" s="46"/>
      <c r="L37" s="46"/>
      <c r="M37" s="47">
        <f t="shared" si="1"/>
        <v>40000</v>
      </c>
    </row>
    <row r="38" spans="1:13" x14ac:dyDescent="0.25">
      <c r="A38" s="45" t="s">
        <v>100</v>
      </c>
      <c r="B38" s="46">
        <v>20000</v>
      </c>
      <c r="C38" s="46"/>
      <c r="D38" s="46">
        <v>0</v>
      </c>
      <c r="E38" s="46"/>
      <c r="F38" s="46">
        <v>0</v>
      </c>
      <c r="G38" s="46"/>
      <c r="H38" s="46"/>
      <c r="I38" s="46"/>
      <c r="J38" s="46"/>
      <c r="K38" s="46"/>
      <c r="L38" s="46"/>
      <c r="M38" s="47">
        <f t="shared" si="1"/>
        <v>20000</v>
      </c>
    </row>
    <row r="39" spans="1:13" x14ac:dyDescent="0.25">
      <c r="A39" s="45" t="s">
        <v>101</v>
      </c>
      <c r="B39" s="46"/>
      <c r="C39" s="46"/>
      <c r="D39" s="46"/>
      <c r="E39" s="46"/>
      <c r="F39" s="46"/>
      <c r="G39" s="46"/>
      <c r="H39" s="46">
        <f>100000-30000</f>
        <v>70000</v>
      </c>
      <c r="I39" s="46"/>
      <c r="J39" s="46"/>
      <c r="K39" s="46"/>
      <c r="L39" s="46"/>
      <c r="M39" s="47">
        <f t="shared" si="1"/>
        <v>70000</v>
      </c>
    </row>
    <row r="40" spans="1:13" x14ac:dyDescent="0.25">
      <c r="A40" s="45" t="s">
        <v>102</v>
      </c>
      <c r="B40" s="46"/>
      <c r="C40" s="46"/>
      <c r="D40" s="46"/>
      <c r="E40" s="46"/>
      <c r="F40" s="46"/>
      <c r="G40" s="46"/>
      <c r="H40" s="46">
        <f>100000-20000</f>
        <v>80000</v>
      </c>
      <c r="I40" s="46"/>
      <c r="J40" s="46"/>
      <c r="K40" s="46"/>
      <c r="L40" s="46"/>
      <c r="M40" s="47">
        <f t="shared" si="1"/>
        <v>80000</v>
      </c>
    </row>
    <row r="41" spans="1:13" x14ac:dyDescent="0.25">
      <c r="A41" s="45" t="s">
        <v>103</v>
      </c>
      <c r="B41" s="46"/>
      <c r="C41" s="46">
        <v>30000</v>
      </c>
      <c r="D41" s="46"/>
      <c r="E41" s="46"/>
      <c r="F41" s="46"/>
      <c r="G41" s="46"/>
      <c r="H41" s="46"/>
      <c r="I41" s="46"/>
      <c r="J41" s="46"/>
      <c r="K41" s="46"/>
      <c r="L41" s="46"/>
      <c r="M41" s="47">
        <f t="shared" si="1"/>
        <v>30000</v>
      </c>
    </row>
    <row r="42" spans="1:13" x14ac:dyDescent="0.25">
      <c r="A42" s="45" t="s">
        <v>104</v>
      </c>
      <c r="B42" s="46"/>
      <c r="C42" s="46">
        <v>20000</v>
      </c>
      <c r="D42" s="46">
        <f>105000-24149-35000+34149+11937+13508-4000</f>
        <v>101445</v>
      </c>
      <c r="E42" s="46">
        <v>0</v>
      </c>
      <c r="F42" s="46">
        <v>0</v>
      </c>
      <c r="G42" s="46"/>
      <c r="H42" s="46"/>
      <c r="I42" s="46"/>
      <c r="J42" s="46"/>
      <c r="K42" s="46"/>
      <c r="L42" s="46">
        <v>5000</v>
      </c>
      <c r="M42" s="47">
        <f t="shared" si="1"/>
        <v>126445</v>
      </c>
    </row>
    <row r="43" spans="1:13" x14ac:dyDescent="0.25">
      <c r="A43" s="45" t="s">
        <v>105</v>
      </c>
      <c r="B43" s="46">
        <v>10000</v>
      </c>
      <c r="C43" s="46"/>
      <c r="D43" s="46">
        <v>5500</v>
      </c>
      <c r="E43" s="46"/>
      <c r="F43" s="46"/>
      <c r="G43" s="46"/>
      <c r="H43" s="46"/>
      <c r="I43" s="46"/>
      <c r="J43" s="46"/>
      <c r="K43" s="46"/>
      <c r="L43" s="46"/>
      <c r="M43" s="47">
        <f t="shared" si="1"/>
        <v>15500</v>
      </c>
    </row>
    <row r="44" spans="1:13" ht="23.25" x14ac:dyDescent="0.25">
      <c r="A44" s="45" t="s">
        <v>106</v>
      </c>
      <c r="B44" s="46"/>
      <c r="C44" s="46"/>
      <c r="D44" s="46"/>
      <c r="E44" s="46"/>
      <c r="F44" s="46"/>
      <c r="G44" s="46"/>
      <c r="H44" s="46">
        <v>40000</v>
      </c>
      <c r="I44" s="46"/>
      <c r="J44" s="46"/>
      <c r="K44" s="46"/>
      <c r="L44" s="46"/>
      <c r="M44" s="47">
        <f>B44+C44+D44+E44+H44+I44+K44+L44</f>
        <v>40000</v>
      </c>
    </row>
    <row r="45" spans="1:13" ht="14.25" customHeight="1" x14ac:dyDescent="0.25">
      <c r="A45" s="45" t="s">
        <v>107</v>
      </c>
      <c r="B45" s="46"/>
      <c r="C45" s="46"/>
      <c r="D45" s="46"/>
      <c r="E45" s="46"/>
      <c r="F45" s="46"/>
      <c r="G45" s="46"/>
      <c r="H45" s="46"/>
      <c r="I45" s="46">
        <v>40000</v>
      </c>
      <c r="J45" s="46"/>
      <c r="K45" s="46"/>
      <c r="L45" s="46"/>
      <c r="M45" s="47">
        <f>B45+C45+D45+E45+H45+I45+K45+L45</f>
        <v>40000</v>
      </c>
    </row>
    <row r="46" spans="1:13" ht="45.75" x14ac:dyDescent="0.25">
      <c r="A46" s="45" t="s">
        <v>108</v>
      </c>
      <c r="B46" s="46"/>
      <c r="C46" s="46"/>
      <c r="D46" s="46"/>
      <c r="E46" s="46"/>
      <c r="F46" s="46"/>
      <c r="G46" s="46"/>
      <c r="H46" s="46"/>
      <c r="I46" s="46">
        <f>250000-100000-10000</f>
        <v>140000</v>
      </c>
      <c r="J46" s="46"/>
      <c r="K46" s="46"/>
      <c r="L46" s="46"/>
      <c r="M46" s="47">
        <f>B46+C46+D46+E46+H46+I46+K46+L46</f>
        <v>140000</v>
      </c>
    </row>
    <row r="47" spans="1:13" ht="33" customHeight="1" x14ac:dyDescent="0.25">
      <c r="A47" s="45" t="s">
        <v>109</v>
      </c>
      <c r="B47" s="46"/>
      <c r="C47" s="46"/>
      <c r="D47" s="46"/>
      <c r="E47" s="46"/>
      <c r="F47" s="46"/>
      <c r="G47" s="46"/>
      <c r="H47" s="46">
        <f>50000-20000</f>
        <v>30000</v>
      </c>
      <c r="I47" s="46"/>
      <c r="J47" s="46"/>
      <c r="K47" s="46"/>
      <c r="L47" s="46"/>
      <c r="M47" s="47">
        <f>B47+C47+D47+E47+H47+I47+K47+L47</f>
        <v>30000</v>
      </c>
    </row>
    <row r="48" spans="1:13" x14ac:dyDescent="0.25">
      <c r="A48" s="45" t="s">
        <v>110</v>
      </c>
      <c r="B48" s="46"/>
      <c r="C48" s="46"/>
      <c r="D48" s="46"/>
      <c r="E48" s="46"/>
      <c r="F48" s="46"/>
      <c r="G48" s="46"/>
      <c r="H48" s="46"/>
      <c r="I48" s="46">
        <f>3000-1500</f>
        <v>1500</v>
      </c>
      <c r="J48" s="46"/>
      <c r="K48" s="46"/>
      <c r="L48" s="46"/>
      <c r="M48" s="47">
        <f>B48+C48+D48+E48+H48+I48+K48+L48</f>
        <v>1500</v>
      </c>
    </row>
    <row r="49" spans="1:13" ht="23.25" x14ac:dyDescent="0.25">
      <c r="A49" s="45" t="s">
        <v>111</v>
      </c>
      <c r="B49" s="46"/>
      <c r="C49" s="46"/>
      <c r="D49" s="46"/>
      <c r="E49" s="46"/>
      <c r="F49" s="46"/>
      <c r="G49" s="46"/>
      <c r="H49" s="46"/>
      <c r="I49" s="46"/>
      <c r="J49" s="46">
        <v>30000</v>
      </c>
      <c r="K49" s="46"/>
      <c r="L49" s="46">
        <v>0</v>
      </c>
      <c r="M49" s="47">
        <f>SUM(B49:L49)</f>
        <v>30000</v>
      </c>
    </row>
    <row r="50" spans="1:13" ht="23.25" x14ac:dyDescent="0.25">
      <c r="A50" s="45" t="s">
        <v>112</v>
      </c>
      <c r="B50" s="46">
        <f>10000-2000</f>
        <v>8000</v>
      </c>
      <c r="C50" s="46"/>
      <c r="D50" s="46">
        <f>4000+5630-7630+2000</f>
        <v>4000</v>
      </c>
      <c r="E50" s="46"/>
      <c r="F50" s="46"/>
      <c r="G50" s="46"/>
      <c r="H50" s="46"/>
      <c r="I50" s="46"/>
      <c r="J50" s="46"/>
      <c r="K50" s="46"/>
      <c r="L50" s="46">
        <v>6000</v>
      </c>
      <c r="M50" s="47">
        <f>B50+C50+D50+E50+H50+I50+K50+L50</f>
        <v>18000</v>
      </c>
    </row>
    <row r="51" spans="1:13" ht="23.25" x14ac:dyDescent="0.25">
      <c r="A51" s="45" t="s">
        <v>113</v>
      </c>
      <c r="B51" s="46"/>
      <c r="C51" s="46"/>
      <c r="D51" s="46"/>
      <c r="E51" s="46"/>
      <c r="F51" s="46"/>
      <c r="G51" s="46"/>
      <c r="H51" s="46">
        <f>50000-10000</f>
        <v>40000</v>
      </c>
      <c r="I51" s="46"/>
      <c r="J51" s="46"/>
      <c r="K51" s="46"/>
      <c r="L51" s="46"/>
      <c r="M51" s="47">
        <f>B51+C51+D51+E51+H51+I51+K51+L51</f>
        <v>40000</v>
      </c>
    </row>
    <row r="52" spans="1:13" ht="23.25" x14ac:dyDescent="0.25">
      <c r="A52" s="45" t="s">
        <v>114</v>
      </c>
      <c r="B52" s="46"/>
      <c r="C52" s="46"/>
      <c r="D52" s="46"/>
      <c r="E52" s="46"/>
      <c r="F52" s="46"/>
      <c r="G52" s="46"/>
      <c r="H52" s="46">
        <v>51000</v>
      </c>
      <c r="I52" s="46"/>
      <c r="J52" s="46"/>
      <c r="K52" s="46"/>
      <c r="L52" s="46"/>
      <c r="M52" s="47">
        <f>B52+C52+D52+E52+H52+I52+K52+L52</f>
        <v>51000</v>
      </c>
    </row>
    <row r="53" spans="1:13" ht="34.5" x14ac:dyDescent="0.25">
      <c r="A53" s="45" t="s">
        <v>115</v>
      </c>
      <c r="B53" s="46"/>
      <c r="C53" s="46"/>
      <c r="D53" s="46"/>
      <c r="E53" s="46"/>
      <c r="F53" s="46"/>
      <c r="G53" s="46"/>
      <c r="H53" s="46">
        <f>100000-50000</f>
        <v>50000</v>
      </c>
      <c r="I53" s="46" t="s">
        <v>116</v>
      </c>
      <c r="J53" s="46"/>
      <c r="K53" s="51"/>
      <c r="L53" s="46"/>
      <c r="M53" s="47">
        <f>SUM(B53:L53)</f>
        <v>50000</v>
      </c>
    </row>
    <row r="54" spans="1:13" ht="23.25" x14ac:dyDescent="0.25">
      <c r="A54" s="45" t="s">
        <v>117</v>
      </c>
      <c r="B54" s="46"/>
      <c r="C54" s="46"/>
      <c r="D54" s="46" t="s">
        <v>118</v>
      </c>
      <c r="E54" s="46"/>
      <c r="F54" s="46"/>
      <c r="G54" s="46"/>
      <c r="H54" s="46"/>
      <c r="I54" s="46"/>
      <c r="J54" s="46">
        <v>1500</v>
      </c>
      <c r="K54" s="51"/>
      <c r="L54" s="51"/>
      <c r="M54" s="47">
        <f>SUM(B54:L54)</f>
        <v>1500</v>
      </c>
    </row>
    <row r="55" spans="1:13" x14ac:dyDescent="0.25">
      <c r="A55" s="45" t="s">
        <v>119</v>
      </c>
      <c r="B55" s="46">
        <v>35000</v>
      </c>
      <c r="C55" s="46"/>
      <c r="D55" s="46"/>
      <c r="E55" s="46"/>
      <c r="F55" s="46"/>
      <c r="G55" s="46"/>
      <c r="H55" s="46"/>
      <c r="I55" s="46"/>
      <c r="J55" s="46"/>
      <c r="K55" s="51"/>
      <c r="L55" s="51"/>
      <c r="M55" s="47">
        <f>B55+C55+D55+E55+H55+I55+K55+L55</f>
        <v>35000</v>
      </c>
    </row>
    <row r="56" spans="1:13" x14ac:dyDescent="0.25">
      <c r="A56" s="45" t="s">
        <v>120</v>
      </c>
      <c r="B56" s="46"/>
      <c r="C56" s="46"/>
      <c r="D56" s="46"/>
      <c r="E56" s="46"/>
      <c r="F56" s="46"/>
      <c r="G56" s="46"/>
      <c r="H56" s="46"/>
      <c r="I56" s="46"/>
      <c r="J56" s="46"/>
      <c r="K56" s="51"/>
      <c r="L56" s="46">
        <v>8000</v>
      </c>
      <c r="M56" s="47">
        <f>B56+C56+D56+E56+H56+I56+K56+L56</f>
        <v>8000</v>
      </c>
    </row>
    <row r="57" spans="1:13" ht="12" customHeight="1" x14ac:dyDescent="0.25">
      <c r="A57" s="45" t="s">
        <v>121</v>
      </c>
      <c r="B57" s="46"/>
      <c r="C57" s="46"/>
      <c r="D57" s="46"/>
      <c r="E57" s="46"/>
      <c r="F57" s="46"/>
      <c r="G57" s="46"/>
      <c r="H57" s="46"/>
      <c r="I57" s="46"/>
      <c r="J57" s="46"/>
      <c r="K57" s="51"/>
      <c r="L57" s="46">
        <f>50000-10000</f>
        <v>40000</v>
      </c>
      <c r="M57" s="47">
        <f>B57+C57+D57+E57+H57+I57+K57+L57</f>
        <v>40000</v>
      </c>
    </row>
    <row r="58" spans="1:13" ht="23.25" x14ac:dyDescent="0.25">
      <c r="A58" s="45" t="s">
        <v>122</v>
      </c>
      <c r="B58" s="46"/>
      <c r="C58" s="46"/>
      <c r="D58" s="46"/>
      <c r="E58" s="46"/>
      <c r="F58" s="46"/>
      <c r="G58" s="46"/>
      <c r="H58" s="46">
        <v>10000</v>
      </c>
      <c r="I58" s="46"/>
      <c r="J58" s="46"/>
      <c r="K58" s="51"/>
      <c r="L58" s="46"/>
      <c r="M58" s="47">
        <f>B58+C58+D58+E58+H58+I58+K58+L58</f>
        <v>10000</v>
      </c>
    </row>
    <row r="59" spans="1:13" x14ac:dyDescent="0.25">
      <c r="A59" s="48" t="s">
        <v>123</v>
      </c>
      <c r="B59" s="47">
        <f>SUM(B3:B58)</f>
        <v>275500</v>
      </c>
      <c r="C59" s="47">
        <f>SUM(C3:C55)</f>
        <v>281500</v>
      </c>
      <c r="D59" s="47">
        <f>SUM(D3:D58)</f>
        <v>245130</v>
      </c>
      <c r="E59" s="47">
        <f>SUM(E3:E55)</f>
        <v>6000</v>
      </c>
      <c r="F59" s="47">
        <f>SUM(F3:F55)</f>
        <v>11500</v>
      </c>
      <c r="G59" s="47">
        <f>SUM(G3:G56)</f>
        <v>150000</v>
      </c>
      <c r="H59" s="47">
        <f>SUM(H3:H58)</f>
        <v>705000</v>
      </c>
      <c r="I59" s="47">
        <f>SUM(I3:I55)</f>
        <v>181500</v>
      </c>
      <c r="J59" s="47">
        <f>SUM(J3:J55)</f>
        <v>36500</v>
      </c>
      <c r="K59" s="47">
        <f>SUM(K3:K55)</f>
        <v>2500</v>
      </c>
      <c r="L59" s="47">
        <f>SUM(L3:L57)</f>
        <v>104870</v>
      </c>
      <c r="M59" s="47">
        <f>SUM(M3:M58)</f>
        <v>2000000</v>
      </c>
    </row>
    <row r="60" spans="1:13" x14ac:dyDescent="0.25">
      <c r="A60" s="4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x14ac:dyDescent="0.25">
      <c r="A61" s="4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x14ac:dyDescent="0.25">
      <c r="A62" s="133" t="s">
        <v>124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</row>
    <row r="63" spans="1:13" ht="22.5" x14ac:dyDescent="0.25">
      <c r="A63" s="43" t="s">
        <v>54</v>
      </c>
      <c r="B63" s="44" t="s">
        <v>55</v>
      </c>
      <c r="C63" s="44" t="s">
        <v>52</v>
      </c>
      <c r="D63" s="44" t="s">
        <v>56</v>
      </c>
      <c r="E63" s="44" t="s">
        <v>57</v>
      </c>
      <c r="F63" s="44" t="s">
        <v>58</v>
      </c>
      <c r="G63" s="44" t="s">
        <v>59</v>
      </c>
      <c r="H63" s="44" t="s">
        <v>45</v>
      </c>
      <c r="I63" s="44" t="s">
        <v>60</v>
      </c>
      <c r="J63" s="44" t="s">
        <v>61</v>
      </c>
      <c r="K63" s="44" t="s">
        <v>62</v>
      </c>
      <c r="L63" s="44" t="s">
        <v>63</v>
      </c>
      <c r="M63" s="44" t="s">
        <v>64</v>
      </c>
    </row>
    <row r="64" spans="1:13" x14ac:dyDescent="0.25">
      <c r="A64" s="45" t="s">
        <v>65</v>
      </c>
      <c r="B64" s="46">
        <v>12000</v>
      </c>
      <c r="C64" s="46">
        <v>2000</v>
      </c>
      <c r="D64" s="46">
        <v>5000</v>
      </c>
      <c r="E64" s="46">
        <v>0</v>
      </c>
      <c r="F64" s="46"/>
      <c r="G64" s="46"/>
      <c r="H64" s="46">
        <f>500-500</f>
        <v>0</v>
      </c>
      <c r="I64" s="46"/>
      <c r="J64" s="46">
        <v>5000</v>
      </c>
      <c r="K64" s="46"/>
      <c r="L64" s="46">
        <v>1000</v>
      </c>
      <c r="M64" s="47">
        <f>B64+C64+D64+E64+F64+G64+H64+I64+J64+K64+L64</f>
        <v>25000</v>
      </c>
    </row>
    <row r="65" spans="1:13" x14ac:dyDescent="0.25">
      <c r="A65" s="45" t="s">
        <v>66</v>
      </c>
      <c r="B65" s="46"/>
      <c r="C65" s="46">
        <v>97000</v>
      </c>
      <c r="D65" s="46">
        <v>0</v>
      </c>
      <c r="E65" s="46"/>
      <c r="F65" s="46"/>
      <c r="G65" s="46"/>
      <c r="H65" s="46"/>
      <c r="I65" s="46"/>
      <c r="J65" s="46"/>
      <c r="K65" s="46"/>
      <c r="L65" s="46"/>
      <c r="M65" s="47">
        <f t="shared" ref="M65:M84" si="2">B65+C65+D65+E65+H65+I65+K65+L65</f>
        <v>97000</v>
      </c>
    </row>
    <row r="66" spans="1:13" x14ac:dyDescent="0.25">
      <c r="A66" s="45" t="s">
        <v>67</v>
      </c>
      <c r="B66" s="46"/>
      <c r="C66" s="46">
        <v>90000</v>
      </c>
      <c r="D66" s="46">
        <v>0</v>
      </c>
      <c r="E66" s="46"/>
      <c r="F66" s="46"/>
      <c r="G66" s="46"/>
      <c r="H66" s="46"/>
      <c r="I66" s="46"/>
      <c r="J66" s="46"/>
      <c r="K66" s="46"/>
      <c r="L66" s="46"/>
      <c r="M66" s="47">
        <f t="shared" si="2"/>
        <v>90000</v>
      </c>
    </row>
    <row r="67" spans="1:13" x14ac:dyDescent="0.25">
      <c r="A67" s="45" t="s">
        <v>68</v>
      </c>
      <c r="B67" s="46"/>
      <c r="C67" s="46">
        <v>8000</v>
      </c>
      <c r="D67" s="46">
        <v>0</v>
      </c>
      <c r="E67" s="46"/>
      <c r="F67" s="46"/>
      <c r="G67" s="46"/>
      <c r="H67" s="46"/>
      <c r="I67" s="46"/>
      <c r="J67" s="46"/>
      <c r="K67" s="46"/>
      <c r="L67" s="46"/>
      <c r="M67" s="47">
        <f t="shared" si="2"/>
        <v>8000</v>
      </c>
    </row>
    <row r="68" spans="1:13" ht="23.25" x14ac:dyDescent="0.25">
      <c r="A68" s="45" t="s">
        <v>69</v>
      </c>
      <c r="B68" s="46"/>
      <c r="C68" s="46">
        <v>2000</v>
      </c>
      <c r="D68" s="46">
        <v>0</v>
      </c>
      <c r="E68" s="46"/>
      <c r="F68" s="46"/>
      <c r="G68" s="46"/>
      <c r="H68" s="46"/>
      <c r="I68" s="46"/>
      <c r="J68" s="46"/>
      <c r="K68" s="46"/>
      <c r="L68" s="46"/>
      <c r="M68" s="47">
        <f t="shared" si="2"/>
        <v>2000</v>
      </c>
    </row>
    <row r="69" spans="1:13" ht="23.25" x14ac:dyDescent="0.25">
      <c r="A69" s="45" t="s">
        <v>70</v>
      </c>
      <c r="B69" s="46"/>
      <c r="C69" s="46">
        <v>1000</v>
      </c>
      <c r="D69" s="46">
        <v>0</v>
      </c>
      <c r="E69" s="46"/>
      <c r="F69" s="46"/>
      <c r="G69" s="46"/>
      <c r="H69" s="46"/>
      <c r="I69" s="46"/>
      <c r="J69" s="46"/>
      <c r="K69" s="46"/>
      <c r="L69" s="46"/>
      <c r="M69" s="47">
        <f t="shared" si="2"/>
        <v>1000</v>
      </c>
    </row>
    <row r="70" spans="1:13" x14ac:dyDescent="0.25">
      <c r="A70" s="45" t="s">
        <v>71</v>
      </c>
      <c r="B70" s="46"/>
      <c r="C70" s="46">
        <v>2000</v>
      </c>
      <c r="D70" s="46"/>
      <c r="E70" s="46"/>
      <c r="F70" s="46"/>
      <c r="G70" s="46"/>
      <c r="H70" s="46"/>
      <c r="I70" s="46"/>
      <c r="J70" s="46"/>
      <c r="K70" s="46"/>
      <c r="L70" s="46"/>
      <c r="M70" s="47">
        <f t="shared" si="2"/>
        <v>2000</v>
      </c>
    </row>
    <row r="71" spans="1:13" ht="23.25" x14ac:dyDescent="0.25">
      <c r="A71" s="45" t="s">
        <v>72</v>
      </c>
      <c r="B71" s="46"/>
      <c r="C71" s="46">
        <v>5000</v>
      </c>
      <c r="D71" s="46"/>
      <c r="E71" s="46"/>
      <c r="F71" s="46"/>
      <c r="G71" s="46"/>
      <c r="H71" s="46"/>
      <c r="I71" s="46"/>
      <c r="J71" s="46"/>
      <c r="K71" s="46"/>
      <c r="L71" s="46"/>
      <c r="M71" s="47">
        <f t="shared" si="2"/>
        <v>5000</v>
      </c>
    </row>
    <row r="72" spans="1:13" x14ac:dyDescent="0.25">
      <c r="A72" s="45" t="s">
        <v>73</v>
      </c>
      <c r="B72" s="46">
        <v>25000</v>
      </c>
      <c r="C72" s="46">
        <v>10000</v>
      </c>
      <c r="D72" s="46">
        <v>20000</v>
      </c>
      <c r="E72" s="46"/>
      <c r="F72" s="46"/>
      <c r="G72" s="46"/>
      <c r="H72" s="46"/>
      <c r="I72" s="46"/>
      <c r="J72" s="46"/>
      <c r="K72" s="46"/>
      <c r="L72" s="46"/>
      <c r="M72" s="47">
        <f t="shared" si="2"/>
        <v>55000</v>
      </c>
    </row>
    <row r="73" spans="1:13" x14ac:dyDescent="0.25">
      <c r="A73" s="45" t="s">
        <v>74</v>
      </c>
      <c r="B73" s="46">
        <v>15000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>
        <f t="shared" si="2"/>
        <v>15000</v>
      </c>
    </row>
    <row r="74" spans="1:13" ht="34.5" x14ac:dyDescent="0.25">
      <c r="A74" s="45" t="s">
        <v>75</v>
      </c>
      <c r="B74" s="46"/>
      <c r="C74" s="46"/>
      <c r="D74" s="46"/>
      <c r="E74" s="46"/>
      <c r="F74" s="46"/>
      <c r="G74" s="46"/>
      <c r="H74" s="46">
        <v>10000</v>
      </c>
      <c r="I74" s="46"/>
      <c r="J74" s="46"/>
      <c r="K74" s="46"/>
      <c r="L74" s="46"/>
      <c r="M74" s="47">
        <f t="shared" si="2"/>
        <v>10000</v>
      </c>
    </row>
    <row r="75" spans="1:13" ht="23.25" x14ac:dyDescent="0.25">
      <c r="A75" s="45" t="s">
        <v>76</v>
      </c>
      <c r="B75" s="46">
        <v>10000</v>
      </c>
      <c r="C75" s="46">
        <v>1000</v>
      </c>
      <c r="D75" s="46">
        <v>5000</v>
      </c>
      <c r="E75" s="46"/>
      <c r="F75" s="46"/>
      <c r="G75" s="46"/>
      <c r="H75" s="46"/>
      <c r="I75" s="46"/>
      <c r="J75" s="46"/>
      <c r="K75" s="46"/>
      <c r="L75" s="46"/>
      <c r="M75" s="47">
        <f t="shared" si="2"/>
        <v>16000</v>
      </c>
    </row>
    <row r="76" spans="1:13" x14ac:dyDescent="0.25">
      <c r="A76" s="45" t="s">
        <v>77</v>
      </c>
      <c r="B76" s="46">
        <v>500</v>
      </c>
      <c r="C76" s="46">
        <v>500</v>
      </c>
      <c r="D76" s="46">
        <v>500</v>
      </c>
      <c r="E76" s="46"/>
      <c r="F76" s="46"/>
      <c r="G76" s="46"/>
      <c r="H76" s="46"/>
      <c r="I76" s="46"/>
      <c r="J76" s="46"/>
      <c r="K76" s="46"/>
      <c r="L76" s="46"/>
      <c r="M76" s="47">
        <f t="shared" si="2"/>
        <v>1500</v>
      </c>
    </row>
    <row r="77" spans="1:13" x14ac:dyDescent="0.25">
      <c r="A77" s="45" t="s">
        <v>78</v>
      </c>
      <c r="B77" s="46"/>
      <c r="C77" s="46">
        <v>8000</v>
      </c>
      <c r="D77" s="46"/>
      <c r="E77" s="46"/>
      <c r="F77" s="46"/>
      <c r="G77" s="46"/>
      <c r="H77" s="46">
        <v>40000</v>
      </c>
      <c r="I77" s="46"/>
      <c r="J77" s="46"/>
      <c r="K77" s="46"/>
      <c r="L77" s="46"/>
      <c r="M77" s="47">
        <f t="shared" si="2"/>
        <v>48000</v>
      </c>
    </row>
    <row r="78" spans="1:13" ht="23.25" x14ac:dyDescent="0.25">
      <c r="A78" s="45" t="s">
        <v>79</v>
      </c>
      <c r="B78" s="46"/>
      <c r="C78" s="46">
        <v>3000</v>
      </c>
      <c r="D78" s="46">
        <v>2000</v>
      </c>
      <c r="E78" s="46"/>
      <c r="F78" s="46"/>
      <c r="G78" s="46"/>
      <c r="H78" s="46">
        <v>2000</v>
      </c>
      <c r="I78" s="46"/>
      <c r="J78" s="46"/>
      <c r="K78" s="46"/>
      <c r="L78" s="46"/>
      <c r="M78" s="47">
        <f t="shared" si="2"/>
        <v>7000</v>
      </c>
    </row>
    <row r="79" spans="1:13" x14ac:dyDescent="0.25">
      <c r="A79" s="45" t="s">
        <v>80</v>
      </c>
      <c r="B79" s="46"/>
      <c r="C79" s="46"/>
      <c r="D79" s="46"/>
      <c r="E79" s="46"/>
      <c r="F79" s="46"/>
      <c r="G79" s="46"/>
      <c r="H79" s="46">
        <v>7000</v>
      </c>
      <c r="I79" s="46"/>
      <c r="J79" s="46"/>
      <c r="K79" s="46"/>
      <c r="L79" s="46"/>
      <c r="M79" s="47">
        <f t="shared" si="2"/>
        <v>7000</v>
      </c>
    </row>
    <row r="80" spans="1:13" ht="23.25" x14ac:dyDescent="0.25">
      <c r="A80" s="45" t="s">
        <v>81</v>
      </c>
      <c r="B80" s="46"/>
      <c r="C80" s="46">
        <v>1500</v>
      </c>
      <c r="D80" s="46">
        <v>2000</v>
      </c>
      <c r="E80" s="46"/>
      <c r="F80" s="46"/>
      <c r="G80" s="46"/>
      <c r="H80" s="46">
        <v>15000</v>
      </c>
      <c r="I80" s="46"/>
      <c r="J80" s="46"/>
      <c r="K80" s="46"/>
      <c r="L80" s="46"/>
      <c r="M80" s="47">
        <f t="shared" si="2"/>
        <v>18500</v>
      </c>
    </row>
    <row r="81" spans="1:13" x14ac:dyDescent="0.25">
      <c r="A81" s="45" t="s">
        <v>82</v>
      </c>
      <c r="B81" s="46"/>
      <c r="C81" s="46"/>
      <c r="D81" s="46"/>
      <c r="E81" s="46"/>
      <c r="F81" s="46"/>
      <c r="G81" s="46"/>
      <c r="H81" s="46">
        <v>30000</v>
      </c>
      <c r="I81" s="46"/>
      <c r="J81" s="46"/>
      <c r="K81" s="46"/>
      <c r="L81" s="46"/>
      <c r="M81" s="47">
        <f t="shared" si="2"/>
        <v>30000</v>
      </c>
    </row>
    <row r="82" spans="1:13" ht="23.25" x14ac:dyDescent="0.25">
      <c r="A82" s="45" t="s">
        <v>83</v>
      </c>
      <c r="B82" s="46"/>
      <c r="C82" s="46"/>
      <c r="D82" s="46"/>
      <c r="E82" s="46"/>
      <c r="F82" s="46"/>
      <c r="G82" s="46"/>
      <c r="H82" s="46">
        <v>10000</v>
      </c>
      <c r="I82" s="46"/>
      <c r="J82" s="46"/>
      <c r="K82" s="46"/>
      <c r="L82" s="46"/>
      <c r="M82" s="47">
        <f t="shared" si="2"/>
        <v>10000</v>
      </c>
    </row>
    <row r="83" spans="1:13" ht="23.25" x14ac:dyDescent="0.25">
      <c r="A83" s="45" t="s">
        <v>125</v>
      </c>
      <c r="B83" s="46"/>
      <c r="C83" s="46"/>
      <c r="D83" s="46"/>
      <c r="E83" s="46"/>
      <c r="F83" s="46"/>
      <c r="G83" s="49"/>
      <c r="H83" s="46">
        <v>80000</v>
      </c>
      <c r="I83" s="50"/>
      <c r="J83" s="46"/>
      <c r="K83" s="46"/>
      <c r="L83" s="46"/>
      <c r="M83" s="47">
        <f t="shared" si="2"/>
        <v>80000</v>
      </c>
    </row>
    <row r="84" spans="1:13" ht="23.25" x14ac:dyDescent="0.25">
      <c r="A84" s="45" t="s">
        <v>85</v>
      </c>
      <c r="B84" s="46"/>
      <c r="C84" s="46"/>
      <c r="D84" s="46"/>
      <c r="E84" s="46"/>
      <c r="F84" s="46"/>
      <c r="G84" s="49"/>
      <c r="H84" s="46">
        <v>50000</v>
      </c>
      <c r="I84" s="50"/>
      <c r="J84" s="46"/>
      <c r="K84" s="46"/>
      <c r="L84" s="46"/>
      <c r="M84" s="47">
        <f t="shared" si="2"/>
        <v>50000</v>
      </c>
    </row>
    <row r="85" spans="1:13" x14ac:dyDescent="0.25">
      <c r="A85" s="45" t="s">
        <v>86</v>
      </c>
      <c r="B85" s="46"/>
      <c r="C85" s="46"/>
      <c r="D85" s="46"/>
      <c r="E85" s="46"/>
      <c r="F85" s="46"/>
      <c r="G85" s="49">
        <f>200000-50000</f>
        <v>150000</v>
      </c>
      <c r="H85" s="46"/>
      <c r="I85" s="50"/>
      <c r="J85" s="46"/>
      <c r="K85" s="46"/>
      <c r="L85" s="46"/>
      <c r="M85" s="47">
        <f>SUM(B85:L85)</f>
        <v>150000</v>
      </c>
    </row>
    <row r="86" spans="1:13" x14ac:dyDescent="0.25">
      <c r="A86" s="45" t="s">
        <v>87</v>
      </c>
      <c r="B86" s="46">
        <f>2000-2000</f>
        <v>0</v>
      </c>
      <c r="C86" s="46"/>
      <c r="D86" s="46"/>
      <c r="E86" s="46">
        <v>4000</v>
      </c>
      <c r="F86" s="46"/>
      <c r="G86" s="46"/>
      <c r="H86" s="46"/>
      <c r="I86" s="46"/>
      <c r="J86" s="46"/>
      <c r="K86" s="46"/>
      <c r="L86" s="46"/>
      <c r="M86" s="47">
        <f>B86+C86+D86+E86+H86+I86+K86+L86</f>
        <v>4000</v>
      </c>
    </row>
    <row r="87" spans="1:13" ht="23.25" x14ac:dyDescent="0.25">
      <c r="A87" s="45" t="s">
        <v>88</v>
      </c>
      <c r="B87" s="46">
        <f>6000-1000-2500</f>
        <v>2500</v>
      </c>
      <c r="C87" s="46"/>
      <c r="D87" s="46">
        <v>0</v>
      </c>
      <c r="E87" s="46">
        <v>1000</v>
      </c>
      <c r="F87" s="46"/>
      <c r="G87" s="46"/>
      <c r="H87" s="46"/>
      <c r="I87" s="46"/>
      <c r="J87" s="46"/>
      <c r="K87" s="46">
        <v>1000</v>
      </c>
      <c r="L87" s="46"/>
      <c r="M87" s="47">
        <f>SUM(B87:L87)</f>
        <v>4500</v>
      </c>
    </row>
    <row r="88" spans="1:13" x14ac:dyDescent="0.25">
      <c r="A88" s="45" t="s">
        <v>89</v>
      </c>
      <c r="B88" s="46">
        <f>3000+1000-1000-1000</f>
        <v>2000</v>
      </c>
      <c r="C88" s="46"/>
      <c r="D88" s="46"/>
      <c r="E88" s="46"/>
      <c r="F88" s="46"/>
      <c r="G88" s="46"/>
      <c r="H88" s="46"/>
      <c r="I88" s="46"/>
      <c r="J88" s="46"/>
      <c r="K88" s="46">
        <v>1000</v>
      </c>
      <c r="L88" s="46"/>
      <c r="M88" s="47">
        <f>B88+C88+D88+E88+H88+I88+K88+L88</f>
        <v>3000</v>
      </c>
    </row>
    <row r="89" spans="1:13" ht="23.25" x14ac:dyDescent="0.25">
      <c r="A89" s="45" t="s">
        <v>90</v>
      </c>
      <c r="B89" s="46"/>
      <c r="C89" s="46"/>
      <c r="D89" s="46">
        <v>46935</v>
      </c>
      <c r="E89" s="46"/>
      <c r="F89" s="46"/>
      <c r="G89" s="46"/>
      <c r="H89" s="46"/>
      <c r="I89" s="46"/>
      <c r="J89" s="46"/>
      <c r="K89" s="46"/>
      <c r="L89" s="46"/>
      <c r="M89" s="47">
        <f>B89+C89+D89+E89+H89+I89+K89+L89</f>
        <v>46935</v>
      </c>
    </row>
    <row r="90" spans="1:13" ht="23.25" x14ac:dyDescent="0.25">
      <c r="A90" s="45" t="s">
        <v>91</v>
      </c>
      <c r="B90" s="46"/>
      <c r="C90" s="46"/>
      <c r="D90" s="46">
        <v>50000</v>
      </c>
      <c r="E90" s="46"/>
      <c r="F90" s="46"/>
      <c r="G90" s="46"/>
      <c r="H90" s="46"/>
      <c r="I90" s="46"/>
      <c r="J90" s="46"/>
      <c r="K90" s="46"/>
      <c r="L90" s="46"/>
      <c r="M90" s="47">
        <f>B90+C90+D90+E90+H90+I90+K90+L90</f>
        <v>50000</v>
      </c>
    </row>
    <row r="91" spans="1:13" ht="23.25" x14ac:dyDescent="0.25">
      <c r="A91" s="45" t="s">
        <v>92</v>
      </c>
      <c r="B91" s="46"/>
      <c r="C91" s="46"/>
      <c r="D91" s="46">
        <v>2250</v>
      </c>
      <c r="E91" s="46"/>
      <c r="F91" s="46"/>
      <c r="G91" s="46"/>
      <c r="H91" s="46"/>
      <c r="I91" s="46"/>
      <c r="J91" s="46"/>
      <c r="K91" s="46"/>
      <c r="L91" s="46"/>
      <c r="M91" s="47">
        <f>B91+C91+D91+E91+H91+I91+K91+L91</f>
        <v>2250</v>
      </c>
    </row>
    <row r="92" spans="1:13" ht="23.25" x14ac:dyDescent="0.25">
      <c r="A92" s="45" t="s">
        <v>93</v>
      </c>
      <c r="B92" s="46"/>
      <c r="C92" s="46"/>
      <c r="D92" s="46">
        <v>0</v>
      </c>
      <c r="E92" s="46"/>
      <c r="F92" s="46">
        <v>10000</v>
      </c>
      <c r="G92" s="46"/>
      <c r="H92" s="46"/>
      <c r="I92" s="46"/>
      <c r="J92" s="46"/>
      <c r="K92" s="46"/>
      <c r="L92" s="46"/>
      <c r="M92" s="47">
        <f>SUM(B92:L92)</f>
        <v>10000</v>
      </c>
    </row>
    <row r="93" spans="1:13" x14ac:dyDescent="0.25">
      <c r="A93" s="45" t="s">
        <v>94</v>
      </c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>
        <v>4000</v>
      </c>
      <c r="M93" s="47">
        <f>B93+C93+D93+E93+H93+I93+K93+L93</f>
        <v>4000</v>
      </c>
    </row>
    <row r="94" spans="1:13" x14ac:dyDescent="0.25">
      <c r="A94" s="45" t="s">
        <v>95</v>
      </c>
      <c r="B94" s="46">
        <f>4500+1000</f>
        <v>5500</v>
      </c>
      <c r="C94" s="46">
        <v>500</v>
      </c>
      <c r="D94" s="46">
        <v>500</v>
      </c>
      <c r="E94" s="46">
        <v>1000</v>
      </c>
      <c r="F94" s="46">
        <v>1500</v>
      </c>
      <c r="G94" s="46"/>
      <c r="H94" s="46"/>
      <c r="I94" s="46"/>
      <c r="J94" s="46"/>
      <c r="K94" s="46">
        <v>500</v>
      </c>
      <c r="L94" s="46">
        <v>500</v>
      </c>
      <c r="M94" s="47">
        <f>SUM(B94:L94)</f>
        <v>10000</v>
      </c>
    </row>
    <row r="95" spans="1:13" ht="23.25" x14ac:dyDescent="0.25">
      <c r="A95" s="45" t="s">
        <v>126</v>
      </c>
      <c r="B95" s="46">
        <v>80000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7">
        <f>SUM(B95:L95)</f>
        <v>80000</v>
      </c>
    </row>
    <row r="96" spans="1:13" x14ac:dyDescent="0.25">
      <c r="A96" s="45" t="s">
        <v>127</v>
      </c>
      <c r="B96" s="46"/>
      <c r="C96" s="46"/>
      <c r="D96" s="46"/>
      <c r="E96" s="46"/>
      <c r="F96" s="46"/>
      <c r="G96" s="46"/>
      <c r="H96" s="46">
        <v>50000</v>
      </c>
      <c r="I96" s="46"/>
      <c r="J96" s="46"/>
      <c r="K96" s="46"/>
      <c r="L96" s="46"/>
      <c r="M96" s="47">
        <f t="shared" ref="M96:M104" si="3">B96+C96+D96+E96+H96+I96+K96+L96</f>
        <v>50000</v>
      </c>
    </row>
    <row r="97" spans="1:13" ht="34.5" x14ac:dyDescent="0.25">
      <c r="A97" s="45" t="s">
        <v>128</v>
      </c>
      <c r="B97" s="46">
        <v>50000</v>
      </c>
      <c r="C97" s="46"/>
      <c r="D97" s="46"/>
      <c r="E97" s="46">
        <v>0</v>
      </c>
      <c r="F97" s="46">
        <v>0</v>
      </c>
      <c r="G97" s="46"/>
      <c r="H97" s="46"/>
      <c r="I97" s="46"/>
      <c r="J97" s="46"/>
      <c r="K97" s="46"/>
      <c r="L97" s="46">
        <f>50000-9630</f>
        <v>40370</v>
      </c>
      <c r="M97" s="47">
        <f t="shared" si="3"/>
        <v>90370</v>
      </c>
    </row>
    <row r="98" spans="1:13" ht="23.25" x14ac:dyDescent="0.25">
      <c r="A98" s="45" t="s">
        <v>99</v>
      </c>
      <c r="B98" s="46"/>
      <c r="C98" s="46"/>
      <c r="D98" s="46"/>
      <c r="E98" s="46"/>
      <c r="F98" s="46"/>
      <c r="G98" s="46"/>
      <c r="H98" s="46">
        <v>40000</v>
      </c>
      <c r="I98" s="46"/>
      <c r="J98" s="46"/>
      <c r="K98" s="46"/>
      <c r="L98" s="46"/>
      <c r="M98" s="47">
        <f t="shared" si="3"/>
        <v>40000</v>
      </c>
    </row>
    <row r="99" spans="1:13" x14ac:dyDescent="0.25">
      <c r="A99" s="45" t="s">
        <v>100</v>
      </c>
      <c r="B99" s="46">
        <v>20000</v>
      </c>
      <c r="C99" s="46"/>
      <c r="D99" s="46">
        <v>0</v>
      </c>
      <c r="E99" s="46"/>
      <c r="F99" s="46">
        <v>0</v>
      </c>
      <c r="G99" s="46"/>
      <c r="H99" s="46"/>
      <c r="I99" s="46"/>
      <c r="J99" s="46"/>
      <c r="K99" s="46"/>
      <c r="L99" s="46"/>
      <c r="M99" s="47">
        <f t="shared" si="3"/>
        <v>20000</v>
      </c>
    </row>
    <row r="100" spans="1:13" x14ac:dyDescent="0.25">
      <c r="A100" s="45" t="s">
        <v>101</v>
      </c>
      <c r="B100" s="46"/>
      <c r="C100" s="46"/>
      <c r="D100" s="46"/>
      <c r="E100" s="46"/>
      <c r="F100" s="46"/>
      <c r="G100" s="46"/>
      <c r="H100" s="46">
        <f>100000-30000</f>
        <v>70000</v>
      </c>
      <c r="I100" s="46"/>
      <c r="J100" s="46"/>
      <c r="K100" s="46"/>
      <c r="L100" s="46"/>
      <c r="M100" s="47">
        <f t="shared" si="3"/>
        <v>70000</v>
      </c>
    </row>
    <row r="101" spans="1:13" x14ac:dyDescent="0.25">
      <c r="A101" s="45" t="s">
        <v>102</v>
      </c>
      <c r="B101" s="46"/>
      <c r="C101" s="46"/>
      <c r="D101" s="46"/>
      <c r="E101" s="46"/>
      <c r="F101" s="46"/>
      <c r="G101" s="46"/>
      <c r="H101" s="46">
        <f>100000-20000</f>
        <v>80000</v>
      </c>
      <c r="I101" s="46"/>
      <c r="J101" s="46"/>
      <c r="K101" s="46"/>
      <c r="L101" s="46"/>
      <c r="M101" s="47">
        <f t="shared" si="3"/>
        <v>80000</v>
      </c>
    </row>
    <row r="102" spans="1:13" x14ac:dyDescent="0.25">
      <c r="A102" s="45" t="s">
        <v>103</v>
      </c>
      <c r="B102" s="46"/>
      <c r="C102" s="46">
        <v>30000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7">
        <f t="shared" si="3"/>
        <v>30000</v>
      </c>
    </row>
    <row r="103" spans="1:13" x14ac:dyDescent="0.25">
      <c r="A103" s="45" t="s">
        <v>104</v>
      </c>
      <c r="B103" s="46"/>
      <c r="C103" s="46">
        <v>20000</v>
      </c>
      <c r="D103" s="46">
        <f>105000-24149-35000+34149+11937+13508-4000</f>
        <v>101445</v>
      </c>
      <c r="E103" s="46">
        <v>0</v>
      </c>
      <c r="F103" s="46">
        <v>0</v>
      </c>
      <c r="G103" s="46"/>
      <c r="H103" s="46"/>
      <c r="I103" s="46"/>
      <c r="J103" s="46"/>
      <c r="K103" s="46"/>
      <c r="L103" s="46">
        <v>5000</v>
      </c>
      <c r="M103" s="47">
        <f t="shared" si="3"/>
        <v>126445</v>
      </c>
    </row>
    <row r="104" spans="1:13" x14ac:dyDescent="0.25">
      <c r="A104" s="45" t="s">
        <v>129</v>
      </c>
      <c r="B104" s="46">
        <v>10000</v>
      </c>
      <c r="C104" s="46"/>
      <c r="D104" s="46">
        <v>5500</v>
      </c>
      <c r="E104" s="46"/>
      <c r="F104" s="46"/>
      <c r="G104" s="46"/>
      <c r="H104" s="46"/>
      <c r="I104" s="46"/>
      <c r="J104" s="46"/>
      <c r="K104" s="46"/>
      <c r="L104" s="46"/>
      <c r="M104" s="47">
        <f t="shared" si="3"/>
        <v>15500</v>
      </c>
    </row>
    <row r="105" spans="1:13" ht="23.25" x14ac:dyDescent="0.25">
      <c r="A105" s="45" t="s">
        <v>106</v>
      </c>
      <c r="B105" s="46"/>
      <c r="C105" s="46"/>
      <c r="D105" s="46"/>
      <c r="E105" s="46"/>
      <c r="F105" s="46"/>
      <c r="G105" s="46"/>
      <c r="H105" s="46">
        <v>40000</v>
      </c>
      <c r="I105" s="46"/>
      <c r="J105" s="46"/>
      <c r="K105" s="46"/>
      <c r="L105" s="46"/>
      <c r="M105" s="47">
        <f>B105+C105+D105+E105+H105+I105+K105+L105</f>
        <v>40000</v>
      </c>
    </row>
    <row r="106" spans="1:13" x14ac:dyDescent="0.25">
      <c r="A106" s="45" t="s">
        <v>130</v>
      </c>
      <c r="B106" s="46"/>
      <c r="C106" s="46"/>
      <c r="D106" s="46"/>
      <c r="E106" s="46"/>
      <c r="F106" s="46"/>
      <c r="G106" s="46"/>
      <c r="H106" s="46"/>
      <c r="I106" s="46">
        <v>40000</v>
      </c>
      <c r="J106" s="46"/>
      <c r="K106" s="46"/>
      <c r="L106" s="46"/>
      <c r="M106" s="47">
        <f>B106+C106+D106+E106+H106+I106+K106+L106</f>
        <v>40000</v>
      </c>
    </row>
    <row r="107" spans="1:13" ht="45.75" customHeight="1" x14ac:dyDescent="0.25">
      <c r="A107" s="45" t="s">
        <v>131</v>
      </c>
      <c r="B107" s="46"/>
      <c r="C107" s="46"/>
      <c r="D107" s="46"/>
      <c r="E107" s="46"/>
      <c r="F107" s="46"/>
      <c r="G107" s="46"/>
      <c r="H107" s="46"/>
      <c r="I107" s="46">
        <f>250000-100000-10000</f>
        <v>140000</v>
      </c>
      <c r="J107" s="46"/>
      <c r="K107" s="46"/>
      <c r="L107" s="46"/>
      <c r="M107" s="47">
        <f>B107+C107+D107+E107+H107+I107+K107+L107</f>
        <v>140000</v>
      </c>
    </row>
    <row r="108" spans="1:13" ht="30" customHeight="1" x14ac:dyDescent="0.25">
      <c r="A108" s="45" t="s">
        <v>109</v>
      </c>
      <c r="B108" s="46"/>
      <c r="C108" s="46"/>
      <c r="D108" s="46"/>
      <c r="E108" s="46"/>
      <c r="F108" s="46"/>
      <c r="G108" s="46"/>
      <c r="H108" s="46">
        <f>50000-20000</f>
        <v>30000</v>
      </c>
      <c r="I108" s="46"/>
      <c r="J108" s="46"/>
      <c r="K108" s="46"/>
      <c r="L108" s="46"/>
      <c r="M108" s="47">
        <f>B108+C108+D108+E108+H108+I108+K108+L108</f>
        <v>30000</v>
      </c>
    </row>
    <row r="109" spans="1:13" x14ac:dyDescent="0.25">
      <c r="A109" s="45" t="s">
        <v>110</v>
      </c>
      <c r="B109" s="46"/>
      <c r="C109" s="46"/>
      <c r="D109" s="46"/>
      <c r="E109" s="46"/>
      <c r="F109" s="46"/>
      <c r="G109" s="46"/>
      <c r="H109" s="46"/>
      <c r="I109" s="46">
        <f>3000-1500</f>
        <v>1500</v>
      </c>
      <c r="J109" s="46"/>
      <c r="K109" s="46"/>
      <c r="L109" s="46"/>
      <c r="M109" s="47">
        <f>B109+C109+D109+E109+H109+I109+K109+L109</f>
        <v>1500</v>
      </c>
    </row>
    <row r="110" spans="1:13" ht="23.25" x14ac:dyDescent="0.25">
      <c r="A110" s="45" t="s">
        <v>111</v>
      </c>
      <c r="B110" s="46"/>
      <c r="C110" s="46"/>
      <c r="D110" s="46"/>
      <c r="E110" s="46"/>
      <c r="F110" s="46"/>
      <c r="G110" s="46"/>
      <c r="H110" s="46"/>
      <c r="I110" s="46"/>
      <c r="J110" s="46">
        <v>30000</v>
      </c>
      <c r="K110" s="46"/>
      <c r="L110" s="46">
        <v>0</v>
      </c>
      <c r="M110" s="47">
        <f>SUM(B110:L110)</f>
        <v>30000</v>
      </c>
    </row>
    <row r="111" spans="1:13" ht="23.25" x14ac:dyDescent="0.25">
      <c r="A111" s="45" t="s">
        <v>112</v>
      </c>
      <c r="B111" s="46">
        <f>10000-2000</f>
        <v>8000</v>
      </c>
      <c r="C111" s="46"/>
      <c r="D111" s="46">
        <f>4000+5630-7630+2000</f>
        <v>4000</v>
      </c>
      <c r="E111" s="46"/>
      <c r="F111" s="46"/>
      <c r="G111" s="46"/>
      <c r="H111" s="46"/>
      <c r="I111" s="46"/>
      <c r="J111" s="46"/>
      <c r="K111" s="46"/>
      <c r="L111" s="46">
        <v>6000</v>
      </c>
      <c r="M111" s="47">
        <f>B111+C111+D111+E111+H111+I111+K111+L111</f>
        <v>18000</v>
      </c>
    </row>
    <row r="112" spans="1:13" ht="23.25" x14ac:dyDescent="0.25">
      <c r="A112" s="45" t="s">
        <v>113</v>
      </c>
      <c r="B112" s="46"/>
      <c r="C112" s="46"/>
      <c r="D112" s="46"/>
      <c r="E112" s="46"/>
      <c r="F112" s="46"/>
      <c r="G112" s="46"/>
      <c r="H112" s="46">
        <f>50000-10000</f>
        <v>40000</v>
      </c>
      <c r="I112" s="46"/>
      <c r="J112" s="46"/>
      <c r="K112" s="46"/>
      <c r="L112" s="46"/>
      <c r="M112" s="47">
        <f>B112+C112+D112+E112+H112+I112+K112+L112</f>
        <v>40000</v>
      </c>
    </row>
    <row r="113" spans="1:13" ht="23.25" x14ac:dyDescent="0.25">
      <c r="A113" s="45" t="s">
        <v>114</v>
      </c>
      <c r="B113" s="46"/>
      <c r="C113" s="46"/>
      <c r="D113" s="46"/>
      <c r="E113" s="46"/>
      <c r="F113" s="46"/>
      <c r="G113" s="46"/>
      <c r="H113" s="46">
        <v>51000</v>
      </c>
      <c r="I113" s="46"/>
      <c r="J113" s="46"/>
      <c r="K113" s="46"/>
      <c r="L113" s="46"/>
      <c r="M113" s="47">
        <f>B113+C113+D113+E113+H113+I113+K113+L113</f>
        <v>51000</v>
      </c>
    </row>
    <row r="114" spans="1:13" ht="27.75" customHeight="1" x14ac:dyDescent="0.25">
      <c r="A114" s="45" t="s">
        <v>132</v>
      </c>
      <c r="B114" s="46"/>
      <c r="C114" s="46"/>
      <c r="D114" s="46"/>
      <c r="E114" s="46"/>
      <c r="F114" s="46"/>
      <c r="G114" s="46"/>
      <c r="H114" s="46">
        <f>100000-50000</f>
        <v>50000</v>
      </c>
      <c r="I114" s="46" t="s">
        <v>116</v>
      </c>
      <c r="J114" s="46"/>
      <c r="K114" s="51"/>
      <c r="L114" s="46"/>
      <c r="M114" s="47">
        <f>SUM(B114:L114)</f>
        <v>50000</v>
      </c>
    </row>
    <row r="115" spans="1:13" ht="23.25" x14ac:dyDescent="0.25">
      <c r="A115" s="45" t="s">
        <v>117</v>
      </c>
      <c r="B115" s="46"/>
      <c r="C115" s="46"/>
      <c r="D115" s="46" t="s">
        <v>118</v>
      </c>
      <c r="E115" s="46"/>
      <c r="F115" s="46"/>
      <c r="G115" s="46"/>
      <c r="H115" s="46"/>
      <c r="I115" s="46"/>
      <c r="J115" s="46">
        <v>1500</v>
      </c>
      <c r="K115" s="51"/>
      <c r="L115" s="51"/>
      <c r="M115" s="47">
        <f>SUM(B115:L115)</f>
        <v>1500</v>
      </c>
    </row>
    <row r="116" spans="1:13" x14ac:dyDescent="0.25">
      <c r="A116" s="45" t="s">
        <v>133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51"/>
      <c r="L116" s="51"/>
      <c r="M116" s="47">
        <f>SUM(B116:L116)</f>
        <v>0</v>
      </c>
    </row>
    <row r="117" spans="1:13" x14ac:dyDescent="0.25">
      <c r="A117" s="45" t="s">
        <v>119</v>
      </c>
      <c r="B117" s="46">
        <v>35000</v>
      </c>
      <c r="C117" s="46"/>
      <c r="D117" s="46"/>
      <c r="E117" s="46"/>
      <c r="F117" s="46"/>
      <c r="G117" s="46"/>
      <c r="H117" s="46"/>
      <c r="I117" s="46"/>
      <c r="J117" s="46"/>
      <c r="K117" s="51"/>
      <c r="L117" s="51"/>
      <c r="M117" s="47">
        <f>B117+C117+D117+E117+H117+I117+K117+L117</f>
        <v>35000</v>
      </c>
    </row>
    <row r="118" spans="1:13" x14ac:dyDescent="0.25">
      <c r="A118" s="45" t="s">
        <v>120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51"/>
      <c r="L118" s="46">
        <v>8000</v>
      </c>
      <c r="M118" s="47">
        <f>B118+C118+D118+E118+H118+I118+K118+L118</f>
        <v>8000</v>
      </c>
    </row>
    <row r="119" spans="1:13" x14ac:dyDescent="0.25">
      <c r="A119" s="45" t="s">
        <v>134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51"/>
      <c r="L119" s="46">
        <f>50000-10000</f>
        <v>40000</v>
      </c>
      <c r="M119" s="47">
        <f>B119+C119+D119+E119+H119+I119+K119+L119</f>
        <v>40000</v>
      </c>
    </row>
    <row r="120" spans="1:13" x14ac:dyDescent="0.25">
      <c r="A120" s="45" t="s">
        <v>135</v>
      </c>
      <c r="B120" s="46"/>
      <c r="C120" s="46"/>
      <c r="D120" s="46"/>
      <c r="E120" s="46"/>
      <c r="F120" s="46"/>
      <c r="G120" s="46"/>
      <c r="H120" s="46">
        <v>10000</v>
      </c>
      <c r="I120" s="46"/>
      <c r="J120" s="46"/>
      <c r="K120" s="51"/>
      <c r="L120" s="46"/>
      <c r="M120" s="47">
        <f>B120+C120+D120+E120+H120+I120+K120+L120</f>
        <v>10000</v>
      </c>
    </row>
    <row r="121" spans="1:13" x14ac:dyDescent="0.25">
      <c r="A121" s="45"/>
      <c r="B121" s="46"/>
      <c r="C121" s="46"/>
      <c r="D121" s="46"/>
      <c r="E121" s="46"/>
      <c r="F121" s="46"/>
      <c r="G121" s="46"/>
      <c r="H121" s="46"/>
      <c r="I121" s="46"/>
      <c r="J121" s="46"/>
      <c r="K121" s="51"/>
      <c r="L121" s="46"/>
      <c r="M121" s="47"/>
    </row>
    <row r="122" spans="1:13" x14ac:dyDescent="0.25">
      <c r="A122" s="48" t="s">
        <v>123</v>
      </c>
      <c r="B122" s="47">
        <f>SUM(B64:B121)</f>
        <v>275500</v>
      </c>
      <c r="C122" s="47">
        <f>SUM(C64:C117)</f>
        <v>281500</v>
      </c>
      <c r="D122" s="47">
        <f>SUM(D64:D120)</f>
        <v>245130</v>
      </c>
      <c r="E122" s="47">
        <f>SUM(E64:E117)</f>
        <v>6000</v>
      </c>
      <c r="F122" s="47">
        <f>SUM(F64:F117)</f>
        <v>11500</v>
      </c>
      <c r="G122" s="47">
        <f>SUM(G64:G118)</f>
        <v>150000</v>
      </c>
      <c r="H122" s="47">
        <f>SUM(H64:H120)</f>
        <v>705000</v>
      </c>
      <c r="I122" s="47">
        <f>SUM(I64:I117)</f>
        <v>181500</v>
      </c>
      <c r="J122" s="47">
        <f>SUM(J64:J117)</f>
        <v>36500</v>
      </c>
      <c r="K122" s="47">
        <f>SUM(K64:K117)</f>
        <v>2500</v>
      </c>
      <c r="L122" s="47">
        <f>SUM(L64:L119)</f>
        <v>104870</v>
      </c>
      <c r="M122" s="47">
        <f>SUM(M64:M120)</f>
        <v>2000000</v>
      </c>
    </row>
    <row r="123" spans="1:13" x14ac:dyDescent="0.25">
      <c r="A123" s="4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13" x14ac:dyDescent="0.25">
      <c r="A124" s="133" t="s">
        <v>136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</row>
    <row r="125" spans="1:13" ht="22.5" x14ac:dyDescent="0.25">
      <c r="A125" s="43" t="s">
        <v>54</v>
      </c>
      <c r="B125" s="44" t="s">
        <v>55</v>
      </c>
      <c r="C125" s="44" t="s">
        <v>52</v>
      </c>
      <c r="D125" s="44" t="s">
        <v>56</v>
      </c>
      <c r="E125" s="44" t="s">
        <v>57</v>
      </c>
      <c r="F125" s="44" t="s">
        <v>58</v>
      </c>
      <c r="G125" s="44" t="s">
        <v>59</v>
      </c>
      <c r="H125" s="44" t="s">
        <v>45</v>
      </c>
      <c r="I125" s="44" t="s">
        <v>60</v>
      </c>
      <c r="J125" s="44" t="s">
        <v>61</v>
      </c>
      <c r="K125" s="44" t="s">
        <v>62</v>
      </c>
      <c r="L125" s="44" t="s">
        <v>63</v>
      </c>
      <c r="M125" s="44" t="s">
        <v>64</v>
      </c>
    </row>
    <row r="126" spans="1:13" x14ac:dyDescent="0.25">
      <c r="A126" s="45" t="s">
        <v>65</v>
      </c>
      <c r="B126" s="46">
        <v>12000</v>
      </c>
      <c r="C126" s="46">
        <v>2000</v>
      </c>
      <c r="D126" s="46">
        <v>5000</v>
      </c>
      <c r="E126" s="46">
        <v>0</v>
      </c>
      <c r="F126" s="46"/>
      <c r="G126" s="46"/>
      <c r="H126" s="46">
        <f>500-500</f>
        <v>0</v>
      </c>
      <c r="I126" s="46"/>
      <c r="J126" s="46">
        <v>5000</v>
      </c>
      <c r="K126" s="46"/>
      <c r="L126" s="46">
        <v>1000</v>
      </c>
      <c r="M126" s="47">
        <f>B126+C126+D126+E126+F126+G126+H126+I126+J126+K126+L126</f>
        <v>25000</v>
      </c>
    </row>
    <row r="127" spans="1:13" x14ac:dyDescent="0.25">
      <c r="A127" s="45" t="s">
        <v>66</v>
      </c>
      <c r="B127" s="46"/>
      <c r="C127" s="46">
        <v>97000</v>
      </c>
      <c r="D127" s="46">
        <v>0</v>
      </c>
      <c r="E127" s="46"/>
      <c r="F127" s="46"/>
      <c r="G127" s="46"/>
      <c r="H127" s="46"/>
      <c r="I127" s="46"/>
      <c r="J127" s="46"/>
      <c r="K127" s="46"/>
      <c r="L127" s="46"/>
      <c r="M127" s="47">
        <f t="shared" ref="M127:M146" si="4">B127+C127+D127+E127+H127+I127+K127+L127</f>
        <v>97000</v>
      </c>
    </row>
    <row r="128" spans="1:13" x14ac:dyDescent="0.25">
      <c r="A128" s="45" t="s">
        <v>67</v>
      </c>
      <c r="B128" s="46"/>
      <c r="C128" s="46">
        <v>90000</v>
      </c>
      <c r="D128" s="46">
        <v>0</v>
      </c>
      <c r="E128" s="46"/>
      <c r="F128" s="46"/>
      <c r="G128" s="46"/>
      <c r="H128" s="46"/>
      <c r="I128" s="46"/>
      <c r="J128" s="46"/>
      <c r="K128" s="46"/>
      <c r="L128" s="46"/>
      <c r="M128" s="47">
        <f t="shared" si="4"/>
        <v>90000</v>
      </c>
    </row>
    <row r="129" spans="1:13" x14ac:dyDescent="0.25">
      <c r="A129" s="45" t="s">
        <v>68</v>
      </c>
      <c r="B129" s="46"/>
      <c r="C129" s="46">
        <v>8000</v>
      </c>
      <c r="D129" s="46">
        <v>0</v>
      </c>
      <c r="E129" s="46"/>
      <c r="F129" s="46"/>
      <c r="G129" s="46"/>
      <c r="H129" s="46"/>
      <c r="I129" s="46"/>
      <c r="J129" s="46"/>
      <c r="K129" s="46"/>
      <c r="L129" s="46"/>
      <c r="M129" s="47">
        <f t="shared" si="4"/>
        <v>8000</v>
      </c>
    </row>
    <row r="130" spans="1:13" ht="23.25" x14ac:dyDescent="0.25">
      <c r="A130" s="45" t="s">
        <v>69</v>
      </c>
      <c r="B130" s="46"/>
      <c r="C130" s="46">
        <v>2000</v>
      </c>
      <c r="D130" s="46">
        <v>0</v>
      </c>
      <c r="E130" s="46"/>
      <c r="F130" s="46"/>
      <c r="G130" s="46"/>
      <c r="H130" s="46"/>
      <c r="I130" s="46"/>
      <c r="J130" s="46"/>
      <c r="K130" s="46"/>
      <c r="L130" s="46"/>
      <c r="M130" s="47">
        <f t="shared" si="4"/>
        <v>2000</v>
      </c>
    </row>
    <row r="131" spans="1:13" ht="23.25" x14ac:dyDescent="0.25">
      <c r="A131" s="45" t="s">
        <v>70</v>
      </c>
      <c r="B131" s="46"/>
      <c r="C131" s="46">
        <v>1000</v>
      </c>
      <c r="D131" s="46">
        <v>0</v>
      </c>
      <c r="E131" s="46"/>
      <c r="F131" s="46"/>
      <c r="G131" s="46"/>
      <c r="H131" s="46"/>
      <c r="I131" s="46"/>
      <c r="J131" s="46"/>
      <c r="K131" s="46"/>
      <c r="L131" s="46"/>
      <c r="M131" s="47">
        <f t="shared" si="4"/>
        <v>1000</v>
      </c>
    </row>
    <row r="132" spans="1:13" x14ac:dyDescent="0.25">
      <c r="A132" s="45" t="s">
        <v>71</v>
      </c>
      <c r="B132" s="46"/>
      <c r="C132" s="46">
        <v>2000</v>
      </c>
      <c r="D132" s="46"/>
      <c r="E132" s="46"/>
      <c r="F132" s="46"/>
      <c r="G132" s="46"/>
      <c r="H132" s="46"/>
      <c r="I132" s="46"/>
      <c r="J132" s="46"/>
      <c r="K132" s="46"/>
      <c r="L132" s="46"/>
      <c r="M132" s="47">
        <f t="shared" si="4"/>
        <v>2000</v>
      </c>
    </row>
    <row r="133" spans="1:13" ht="23.25" x14ac:dyDescent="0.25">
      <c r="A133" s="45" t="s">
        <v>72</v>
      </c>
      <c r="B133" s="46"/>
      <c r="C133" s="46">
        <v>5000</v>
      </c>
      <c r="D133" s="46"/>
      <c r="E133" s="46"/>
      <c r="F133" s="46"/>
      <c r="G133" s="46"/>
      <c r="H133" s="46"/>
      <c r="I133" s="46"/>
      <c r="J133" s="46"/>
      <c r="K133" s="46"/>
      <c r="L133" s="46"/>
      <c r="M133" s="47">
        <f t="shared" si="4"/>
        <v>5000</v>
      </c>
    </row>
    <row r="134" spans="1:13" x14ac:dyDescent="0.25">
      <c r="A134" s="45" t="s">
        <v>73</v>
      </c>
      <c r="B134" s="46">
        <v>25000</v>
      </c>
      <c r="C134" s="46">
        <v>10000</v>
      </c>
      <c r="D134" s="46">
        <v>20000</v>
      </c>
      <c r="E134" s="46"/>
      <c r="F134" s="46"/>
      <c r="G134" s="46"/>
      <c r="H134" s="46"/>
      <c r="I134" s="46"/>
      <c r="J134" s="46"/>
      <c r="K134" s="46"/>
      <c r="L134" s="46"/>
      <c r="M134" s="47">
        <f t="shared" si="4"/>
        <v>55000</v>
      </c>
    </row>
    <row r="135" spans="1:13" x14ac:dyDescent="0.25">
      <c r="A135" s="45" t="s">
        <v>74</v>
      </c>
      <c r="B135" s="46">
        <v>15000</v>
      </c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7">
        <f t="shared" si="4"/>
        <v>15000</v>
      </c>
    </row>
    <row r="136" spans="1:13" ht="34.5" x14ac:dyDescent="0.25">
      <c r="A136" s="45" t="s">
        <v>75</v>
      </c>
      <c r="B136" s="46"/>
      <c r="C136" s="46"/>
      <c r="D136" s="46"/>
      <c r="E136" s="46"/>
      <c r="F136" s="46"/>
      <c r="G136" s="46"/>
      <c r="H136" s="46">
        <f>10000+20000</f>
        <v>30000</v>
      </c>
      <c r="I136" s="46"/>
      <c r="J136" s="46"/>
      <c r="K136" s="46"/>
      <c r="L136" s="46"/>
      <c r="M136" s="47">
        <f t="shared" si="4"/>
        <v>30000</v>
      </c>
    </row>
    <row r="137" spans="1:13" ht="23.25" x14ac:dyDescent="0.25">
      <c r="A137" s="45" t="s">
        <v>76</v>
      </c>
      <c r="B137" s="46">
        <v>10000</v>
      </c>
      <c r="C137" s="46">
        <v>1000</v>
      </c>
      <c r="D137" s="46">
        <v>5000</v>
      </c>
      <c r="E137" s="46"/>
      <c r="F137" s="46"/>
      <c r="G137" s="46"/>
      <c r="H137" s="46"/>
      <c r="I137" s="46"/>
      <c r="J137" s="46"/>
      <c r="K137" s="46"/>
      <c r="L137" s="46"/>
      <c r="M137" s="47">
        <f t="shared" si="4"/>
        <v>16000</v>
      </c>
    </row>
    <row r="138" spans="1:13" x14ac:dyDescent="0.25">
      <c r="A138" s="45" t="s">
        <v>77</v>
      </c>
      <c r="B138" s="46">
        <v>500</v>
      </c>
      <c r="C138" s="46">
        <v>500</v>
      </c>
      <c r="D138" s="46">
        <v>500</v>
      </c>
      <c r="E138" s="46"/>
      <c r="F138" s="46"/>
      <c r="G138" s="46"/>
      <c r="H138" s="46"/>
      <c r="I138" s="46"/>
      <c r="J138" s="46"/>
      <c r="K138" s="46"/>
      <c r="L138" s="46"/>
      <c r="M138" s="47">
        <f t="shared" si="4"/>
        <v>1500</v>
      </c>
    </row>
    <row r="139" spans="1:13" x14ac:dyDescent="0.25">
      <c r="A139" s="45" t="s">
        <v>78</v>
      </c>
      <c r="B139" s="46"/>
      <c r="C139" s="46">
        <v>8000</v>
      </c>
      <c r="D139" s="46"/>
      <c r="E139" s="46"/>
      <c r="F139" s="46"/>
      <c r="G139" s="46"/>
      <c r="H139" s="46">
        <f>40000+20000</f>
        <v>60000</v>
      </c>
      <c r="I139" s="46"/>
      <c r="J139" s="46"/>
      <c r="K139" s="46"/>
      <c r="L139" s="46"/>
      <c r="M139" s="47">
        <f t="shared" si="4"/>
        <v>68000</v>
      </c>
    </row>
    <row r="140" spans="1:13" ht="23.25" x14ac:dyDescent="0.25">
      <c r="A140" s="45" t="s">
        <v>79</v>
      </c>
      <c r="B140" s="46"/>
      <c r="C140" s="46">
        <v>3000</v>
      </c>
      <c r="D140" s="46">
        <v>2000</v>
      </c>
      <c r="E140" s="46"/>
      <c r="F140" s="46"/>
      <c r="G140" s="46"/>
      <c r="H140" s="46">
        <v>4000</v>
      </c>
      <c r="I140" s="46"/>
      <c r="J140" s="46"/>
      <c r="K140" s="46"/>
      <c r="L140" s="46"/>
      <c r="M140" s="47">
        <f t="shared" si="4"/>
        <v>9000</v>
      </c>
    </row>
    <row r="141" spans="1:13" x14ac:dyDescent="0.25">
      <c r="A141" s="45" t="s">
        <v>80</v>
      </c>
      <c r="B141" s="46"/>
      <c r="C141" s="46"/>
      <c r="D141" s="46"/>
      <c r="E141" s="46"/>
      <c r="F141" s="46"/>
      <c r="G141" s="46"/>
      <c r="H141" s="46">
        <v>7000</v>
      </c>
      <c r="I141" s="46"/>
      <c r="J141" s="46"/>
      <c r="K141" s="46"/>
      <c r="L141" s="46"/>
      <c r="M141" s="47">
        <f t="shared" si="4"/>
        <v>7000</v>
      </c>
    </row>
    <row r="142" spans="1:13" ht="23.25" x14ac:dyDescent="0.25">
      <c r="A142" s="45" t="s">
        <v>81</v>
      </c>
      <c r="B142" s="46"/>
      <c r="C142" s="46">
        <v>1500</v>
      </c>
      <c r="D142" s="46">
        <v>2000</v>
      </c>
      <c r="E142" s="46"/>
      <c r="F142" s="46"/>
      <c r="G142" s="46"/>
      <c r="H142" s="46">
        <v>15000</v>
      </c>
      <c r="I142" s="46"/>
      <c r="J142" s="46"/>
      <c r="K142" s="46"/>
      <c r="L142" s="46"/>
      <c r="M142" s="47">
        <f t="shared" si="4"/>
        <v>18500</v>
      </c>
    </row>
    <row r="143" spans="1:13" x14ac:dyDescent="0.25">
      <c r="A143" s="45" t="s">
        <v>82</v>
      </c>
      <c r="B143" s="46"/>
      <c r="C143" s="46"/>
      <c r="D143" s="46"/>
      <c r="E143" s="46"/>
      <c r="F143" s="46"/>
      <c r="G143" s="46"/>
      <c r="H143" s="46">
        <v>40000</v>
      </c>
      <c r="I143" s="46"/>
      <c r="J143" s="46"/>
      <c r="K143" s="46"/>
      <c r="L143" s="46"/>
      <c r="M143" s="47">
        <f t="shared" si="4"/>
        <v>40000</v>
      </c>
    </row>
    <row r="144" spans="1:13" ht="23.25" x14ac:dyDescent="0.25">
      <c r="A144" s="45" t="s">
        <v>83</v>
      </c>
      <c r="B144" s="46"/>
      <c r="C144" s="46"/>
      <c r="D144" s="46"/>
      <c r="E144" s="46"/>
      <c r="F144" s="46"/>
      <c r="G144" s="46"/>
      <c r="H144" s="46">
        <v>10000</v>
      </c>
      <c r="I144" s="46"/>
      <c r="J144" s="46"/>
      <c r="K144" s="46"/>
      <c r="L144" s="46"/>
      <c r="M144" s="47">
        <f t="shared" si="4"/>
        <v>10000</v>
      </c>
    </row>
    <row r="145" spans="1:13" ht="23.25" x14ac:dyDescent="0.25">
      <c r="A145" s="45" t="s">
        <v>125</v>
      </c>
      <c r="B145" s="46"/>
      <c r="C145" s="46"/>
      <c r="D145" s="46"/>
      <c r="E145" s="46"/>
      <c r="F145" s="46"/>
      <c r="G145" s="49"/>
      <c r="H145" s="46">
        <v>80000</v>
      </c>
      <c r="I145" s="50"/>
      <c r="J145" s="46"/>
      <c r="K145" s="46"/>
      <c r="L145" s="46"/>
      <c r="M145" s="47">
        <f t="shared" si="4"/>
        <v>80000</v>
      </c>
    </row>
    <row r="146" spans="1:13" ht="23.25" x14ac:dyDescent="0.25">
      <c r="A146" s="45" t="s">
        <v>85</v>
      </c>
      <c r="B146" s="46"/>
      <c r="C146" s="46"/>
      <c r="D146" s="46"/>
      <c r="E146" s="46"/>
      <c r="F146" s="46"/>
      <c r="G146" s="49"/>
      <c r="H146" s="46">
        <v>50000</v>
      </c>
      <c r="I146" s="50"/>
      <c r="J146" s="46"/>
      <c r="K146" s="46"/>
      <c r="L146" s="46"/>
      <c r="M146" s="47">
        <f t="shared" si="4"/>
        <v>50000</v>
      </c>
    </row>
    <row r="147" spans="1:13" x14ac:dyDescent="0.25">
      <c r="A147" s="45" t="s">
        <v>86</v>
      </c>
      <c r="B147" s="46"/>
      <c r="C147" s="46"/>
      <c r="D147" s="46"/>
      <c r="E147" s="46"/>
      <c r="F147" s="46"/>
      <c r="G147" s="49">
        <f>200000-50000+50000</f>
        <v>200000</v>
      </c>
      <c r="H147" s="46"/>
      <c r="I147" s="50"/>
      <c r="J147" s="46"/>
      <c r="K147" s="46"/>
      <c r="L147" s="46"/>
      <c r="M147" s="47">
        <f>SUM(B147:L147)</f>
        <v>200000</v>
      </c>
    </row>
    <row r="148" spans="1:13" x14ac:dyDescent="0.25">
      <c r="A148" s="45" t="s">
        <v>87</v>
      </c>
      <c r="B148" s="46">
        <f>2000-2000</f>
        <v>0</v>
      </c>
      <c r="C148" s="46"/>
      <c r="D148" s="46"/>
      <c r="E148" s="46">
        <v>4000</v>
      </c>
      <c r="F148" s="46"/>
      <c r="G148" s="46"/>
      <c r="H148" s="46"/>
      <c r="I148" s="46"/>
      <c r="J148" s="46"/>
      <c r="K148" s="46"/>
      <c r="L148" s="46"/>
      <c r="M148" s="47">
        <f>B148+C148+D148+E148+H148+I148+K148+L148</f>
        <v>4000</v>
      </c>
    </row>
    <row r="149" spans="1:13" ht="23.25" x14ac:dyDescent="0.25">
      <c r="A149" s="45" t="s">
        <v>88</v>
      </c>
      <c r="B149" s="46">
        <f>6000-1000-2500</f>
        <v>2500</v>
      </c>
      <c r="C149" s="46"/>
      <c r="D149" s="46">
        <v>0</v>
      </c>
      <c r="E149" s="46">
        <v>1000</v>
      </c>
      <c r="F149" s="46"/>
      <c r="G149" s="46"/>
      <c r="H149" s="46"/>
      <c r="I149" s="46"/>
      <c r="J149" s="46"/>
      <c r="K149" s="46">
        <v>1000</v>
      </c>
      <c r="L149" s="46"/>
      <c r="M149" s="47">
        <f>SUM(B149:L149)</f>
        <v>4500</v>
      </c>
    </row>
    <row r="150" spans="1:13" x14ac:dyDescent="0.25">
      <c r="A150" s="45" t="s">
        <v>89</v>
      </c>
      <c r="B150" s="46">
        <f>3000+1000-1000-1000</f>
        <v>2000</v>
      </c>
      <c r="C150" s="46"/>
      <c r="D150" s="46"/>
      <c r="E150" s="46"/>
      <c r="F150" s="46"/>
      <c r="G150" s="46"/>
      <c r="H150" s="46"/>
      <c r="I150" s="46"/>
      <c r="J150" s="46"/>
      <c r="K150" s="46">
        <v>1000</v>
      </c>
      <c r="L150" s="46"/>
      <c r="M150" s="47">
        <f>B150+C150+D150+E150+H150+I150+K150+L150</f>
        <v>3000</v>
      </c>
    </row>
    <row r="151" spans="1:13" ht="23.25" x14ac:dyDescent="0.25">
      <c r="A151" s="45" t="s">
        <v>90</v>
      </c>
      <c r="B151" s="46"/>
      <c r="C151" s="46"/>
      <c r="D151" s="46">
        <v>46935</v>
      </c>
      <c r="E151" s="46"/>
      <c r="F151" s="46"/>
      <c r="G151" s="46"/>
      <c r="H151" s="46"/>
      <c r="I151" s="46"/>
      <c r="J151" s="46"/>
      <c r="K151" s="46"/>
      <c r="L151" s="46"/>
      <c r="M151" s="47">
        <f>B151+C151+D151+E151+H151+I151+K151+L151</f>
        <v>46935</v>
      </c>
    </row>
    <row r="152" spans="1:13" ht="23.25" x14ac:dyDescent="0.25">
      <c r="A152" s="45" t="s">
        <v>91</v>
      </c>
      <c r="B152" s="46"/>
      <c r="C152" s="46"/>
      <c r="D152" s="46">
        <v>50000</v>
      </c>
      <c r="E152" s="46"/>
      <c r="F152" s="46"/>
      <c r="G152" s="46"/>
      <c r="H152" s="46"/>
      <c r="I152" s="46"/>
      <c r="J152" s="46"/>
      <c r="K152" s="46"/>
      <c r="L152" s="46"/>
      <c r="M152" s="47">
        <f>B152+C152+D152+E152+H152+I152+K152+L152</f>
        <v>50000</v>
      </c>
    </row>
    <row r="153" spans="1:13" ht="23.25" x14ac:dyDescent="0.25">
      <c r="A153" s="45" t="s">
        <v>92</v>
      </c>
      <c r="B153" s="46"/>
      <c r="C153" s="46"/>
      <c r="D153" s="46">
        <v>2250</v>
      </c>
      <c r="E153" s="46"/>
      <c r="F153" s="46"/>
      <c r="G153" s="46"/>
      <c r="H153" s="46"/>
      <c r="I153" s="46"/>
      <c r="J153" s="46"/>
      <c r="K153" s="46"/>
      <c r="L153" s="46"/>
      <c r="M153" s="47">
        <f>B153+C153+D153+E153+H153+I153+K153+L153</f>
        <v>2250</v>
      </c>
    </row>
    <row r="154" spans="1:13" ht="23.25" x14ac:dyDescent="0.25">
      <c r="A154" s="45" t="s">
        <v>93</v>
      </c>
      <c r="B154" s="46"/>
      <c r="C154" s="46"/>
      <c r="D154" s="46">
        <v>0</v>
      </c>
      <c r="E154" s="46"/>
      <c r="F154" s="46">
        <v>10000</v>
      </c>
      <c r="G154" s="46"/>
      <c r="H154" s="46"/>
      <c r="I154" s="46"/>
      <c r="J154" s="46"/>
      <c r="K154" s="46"/>
      <c r="L154" s="46"/>
      <c r="M154" s="47">
        <f>SUM(B154:L154)</f>
        <v>10000</v>
      </c>
    </row>
    <row r="155" spans="1:13" x14ac:dyDescent="0.25">
      <c r="A155" s="45" t="s">
        <v>94</v>
      </c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>
        <v>4000</v>
      </c>
      <c r="M155" s="47">
        <f>B155+C155+D155+E155+H155+I155+K155+L155</f>
        <v>4000</v>
      </c>
    </row>
    <row r="156" spans="1:13" x14ac:dyDescent="0.25">
      <c r="A156" s="45" t="s">
        <v>95</v>
      </c>
      <c r="B156" s="46">
        <f>4500+1000</f>
        <v>5500</v>
      </c>
      <c r="C156" s="46">
        <v>500</v>
      </c>
      <c r="D156" s="46">
        <v>500</v>
      </c>
      <c r="E156" s="46">
        <v>1000</v>
      </c>
      <c r="F156" s="46">
        <v>1500</v>
      </c>
      <c r="G156" s="46"/>
      <c r="H156" s="46"/>
      <c r="I156" s="46"/>
      <c r="J156" s="46"/>
      <c r="K156" s="46">
        <v>500</v>
      </c>
      <c r="L156" s="46">
        <v>500</v>
      </c>
      <c r="M156" s="47">
        <f>SUM(B156:L156)</f>
        <v>10000</v>
      </c>
    </row>
    <row r="157" spans="1:13" ht="23.25" x14ac:dyDescent="0.25">
      <c r="A157" s="45" t="s">
        <v>126</v>
      </c>
      <c r="B157" s="46">
        <f>80000+70000</f>
        <v>150000</v>
      </c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7">
        <f>SUM(B157:L157)</f>
        <v>150000</v>
      </c>
    </row>
    <row r="158" spans="1:13" x14ac:dyDescent="0.25">
      <c r="A158" s="45" t="s">
        <v>127</v>
      </c>
      <c r="B158" s="46"/>
      <c r="C158" s="46"/>
      <c r="D158" s="46"/>
      <c r="E158" s="46"/>
      <c r="F158" s="46"/>
      <c r="G158" s="46"/>
      <c r="H158" s="46">
        <v>50000</v>
      </c>
      <c r="I158" s="46"/>
      <c r="J158" s="46"/>
      <c r="K158" s="46"/>
      <c r="L158" s="46"/>
      <c r="M158" s="47">
        <f t="shared" ref="M158:M166" si="5">B158+C158+D158+E158+H158+I158+K158+L158</f>
        <v>50000</v>
      </c>
    </row>
    <row r="159" spans="1:13" ht="27" customHeight="1" x14ac:dyDescent="0.25">
      <c r="A159" s="45" t="s">
        <v>128</v>
      </c>
      <c r="B159" s="46">
        <v>50000</v>
      </c>
      <c r="C159" s="46"/>
      <c r="D159" s="46"/>
      <c r="E159" s="46">
        <v>0</v>
      </c>
      <c r="F159" s="46">
        <v>0</v>
      </c>
      <c r="G159" s="46"/>
      <c r="H159" s="46"/>
      <c r="I159" s="46"/>
      <c r="J159" s="46"/>
      <c r="K159" s="46"/>
      <c r="L159" s="46">
        <f>50000-9630</f>
        <v>40370</v>
      </c>
      <c r="M159" s="47">
        <f t="shared" si="5"/>
        <v>90370</v>
      </c>
    </row>
    <row r="160" spans="1:13" ht="23.25" x14ac:dyDescent="0.25">
      <c r="A160" s="45" t="s">
        <v>99</v>
      </c>
      <c r="B160" s="46"/>
      <c r="C160" s="46"/>
      <c r="D160" s="46"/>
      <c r="E160" s="46"/>
      <c r="F160" s="46"/>
      <c r="G160" s="46"/>
      <c r="H160" s="46">
        <v>40000</v>
      </c>
      <c r="I160" s="46"/>
      <c r="J160" s="46"/>
      <c r="K160" s="46"/>
      <c r="L160" s="46"/>
      <c r="M160" s="47">
        <f t="shared" si="5"/>
        <v>40000</v>
      </c>
    </row>
    <row r="161" spans="1:13" x14ac:dyDescent="0.25">
      <c r="A161" s="45" t="s">
        <v>100</v>
      </c>
      <c r="B161" s="46">
        <v>20000</v>
      </c>
      <c r="C161" s="46"/>
      <c r="D161" s="46">
        <v>0</v>
      </c>
      <c r="E161" s="46"/>
      <c r="F161" s="46">
        <v>0</v>
      </c>
      <c r="G161" s="46"/>
      <c r="H161" s="46"/>
      <c r="I161" s="46"/>
      <c r="J161" s="46"/>
      <c r="K161" s="46"/>
      <c r="L161" s="46"/>
      <c r="M161" s="47">
        <f t="shared" si="5"/>
        <v>20000</v>
      </c>
    </row>
    <row r="162" spans="1:13" x14ac:dyDescent="0.25">
      <c r="A162" s="45" t="s">
        <v>101</v>
      </c>
      <c r="B162" s="46"/>
      <c r="C162" s="46"/>
      <c r="D162" s="46"/>
      <c r="E162" s="46"/>
      <c r="F162" s="46"/>
      <c r="G162" s="46"/>
      <c r="H162" s="46">
        <f>100000-30000</f>
        <v>70000</v>
      </c>
      <c r="I162" s="46"/>
      <c r="J162" s="46"/>
      <c r="K162" s="46"/>
      <c r="L162" s="46"/>
      <c r="M162" s="47">
        <f t="shared" si="5"/>
        <v>70000</v>
      </c>
    </row>
    <row r="163" spans="1:13" x14ac:dyDescent="0.25">
      <c r="A163" s="45" t="s">
        <v>102</v>
      </c>
      <c r="B163" s="46"/>
      <c r="C163" s="46"/>
      <c r="D163" s="46"/>
      <c r="E163" s="46"/>
      <c r="F163" s="46"/>
      <c r="G163" s="46"/>
      <c r="H163" s="46">
        <f>100000-20000</f>
        <v>80000</v>
      </c>
      <c r="I163" s="46"/>
      <c r="J163" s="46"/>
      <c r="K163" s="46"/>
      <c r="L163" s="46"/>
      <c r="M163" s="47">
        <f t="shared" si="5"/>
        <v>80000</v>
      </c>
    </row>
    <row r="164" spans="1:13" x14ac:dyDescent="0.25">
      <c r="A164" s="45" t="s">
        <v>103</v>
      </c>
      <c r="B164" s="46"/>
      <c r="C164" s="46">
        <v>30000</v>
      </c>
      <c r="D164" s="46"/>
      <c r="E164" s="46"/>
      <c r="F164" s="46"/>
      <c r="G164" s="46"/>
      <c r="H164" s="46"/>
      <c r="I164" s="46"/>
      <c r="J164" s="46"/>
      <c r="K164" s="46"/>
      <c r="L164" s="46"/>
      <c r="M164" s="47">
        <f t="shared" si="5"/>
        <v>30000</v>
      </c>
    </row>
    <row r="165" spans="1:13" x14ac:dyDescent="0.25">
      <c r="A165" s="45" t="s">
        <v>104</v>
      </c>
      <c r="B165" s="46"/>
      <c r="C165" s="46">
        <v>20000</v>
      </c>
      <c r="D165" s="46">
        <f>105000-24149-35000+34149+11937+13508-4000</f>
        <v>101445</v>
      </c>
      <c r="E165" s="46">
        <v>0</v>
      </c>
      <c r="F165" s="46">
        <v>0</v>
      </c>
      <c r="G165" s="46"/>
      <c r="H165" s="46"/>
      <c r="I165" s="46"/>
      <c r="J165" s="46"/>
      <c r="K165" s="46"/>
      <c r="L165" s="46">
        <v>5000</v>
      </c>
      <c r="M165" s="47">
        <f t="shared" si="5"/>
        <v>126445</v>
      </c>
    </row>
    <row r="166" spans="1:13" x14ac:dyDescent="0.25">
      <c r="A166" s="45" t="s">
        <v>129</v>
      </c>
      <c r="B166" s="46">
        <v>10000</v>
      </c>
      <c r="C166" s="46"/>
      <c r="D166" s="46">
        <v>5500</v>
      </c>
      <c r="E166" s="46"/>
      <c r="F166" s="46"/>
      <c r="G166" s="46"/>
      <c r="H166" s="46"/>
      <c r="I166" s="46"/>
      <c r="J166" s="46"/>
      <c r="K166" s="46"/>
      <c r="L166" s="46"/>
      <c r="M166" s="47">
        <f t="shared" si="5"/>
        <v>15500</v>
      </c>
    </row>
    <row r="167" spans="1:13" ht="23.25" x14ac:dyDescent="0.25">
      <c r="A167" s="45" t="s">
        <v>106</v>
      </c>
      <c r="B167" s="46"/>
      <c r="C167" s="46"/>
      <c r="D167" s="46"/>
      <c r="E167" s="46"/>
      <c r="F167" s="46"/>
      <c r="G167" s="46"/>
      <c r="H167" s="46">
        <v>40000</v>
      </c>
      <c r="I167" s="46"/>
      <c r="J167" s="46"/>
      <c r="K167" s="46"/>
      <c r="L167" s="46"/>
      <c r="M167" s="47">
        <f>B167+C167+D167+E167+H167+I167+K167+L167</f>
        <v>40000</v>
      </c>
    </row>
    <row r="168" spans="1:13" x14ac:dyDescent="0.25">
      <c r="A168" s="45" t="s">
        <v>130</v>
      </c>
      <c r="B168" s="46"/>
      <c r="C168" s="46"/>
      <c r="D168" s="46"/>
      <c r="E168" s="46"/>
      <c r="F168" s="46"/>
      <c r="G168" s="46"/>
      <c r="H168" s="46"/>
      <c r="I168" s="46">
        <v>40000</v>
      </c>
      <c r="J168" s="46"/>
      <c r="K168" s="46"/>
      <c r="L168" s="46"/>
      <c r="M168" s="47">
        <f>B168+C168+D168+E168+H168+I168+K168+L168</f>
        <v>40000</v>
      </c>
    </row>
    <row r="169" spans="1:13" ht="43.5" customHeight="1" x14ac:dyDescent="0.25">
      <c r="A169" s="45" t="s">
        <v>131</v>
      </c>
      <c r="B169" s="46"/>
      <c r="C169" s="46"/>
      <c r="D169" s="46"/>
      <c r="E169" s="46"/>
      <c r="F169" s="46"/>
      <c r="G169" s="46"/>
      <c r="H169" s="46"/>
      <c r="I169" s="46">
        <f>250000-100000-10000</f>
        <v>140000</v>
      </c>
      <c r="J169" s="46"/>
      <c r="K169" s="46"/>
      <c r="L169" s="46"/>
      <c r="M169" s="47">
        <f>B169+C169+D169+E169+H169+I169+K169+L169</f>
        <v>140000</v>
      </c>
    </row>
    <row r="170" spans="1:13" ht="23.25" x14ac:dyDescent="0.25">
      <c r="A170" s="45" t="s">
        <v>109</v>
      </c>
      <c r="B170" s="46"/>
      <c r="C170" s="46"/>
      <c r="D170" s="46"/>
      <c r="E170" s="46"/>
      <c r="F170" s="46"/>
      <c r="G170" s="46"/>
      <c r="H170" s="46">
        <f>50000-20000</f>
        <v>30000</v>
      </c>
      <c r="I170" s="46"/>
      <c r="J170" s="46"/>
      <c r="K170" s="46"/>
      <c r="L170" s="46"/>
      <c r="M170" s="47">
        <f>B170+C170+D170+E170+H170+I170+K170+L170</f>
        <v>30000</v>
      </c>
    </row>
    <row r="171" spans="1:13" x14ac:dyDescent="0.25">
      <c r="A171" s="45" t="s">
        <v>110</v>
      </c>
      <c r="B171" s="46"/>
      <c r="C171" s="46"/>
      <c r="D171" s="46"/>
      <c r="E171" s="46"/>
      <c r="F171" s="46"/>
      <c r="G171" s="46"/>
      <c r="H171" s="46"/>
      <c r="I171" s="46">
        <f>3000-1500</f>
        <v>1500</v>
      </c>
      <c r="J171" s="46"/>
      <c r="K171" s="46"/>
      <c r="L171" s="46"/>
      <c r="M171" s="47">
        <f>B171+C171+D171+E171+H171+I171+K171+L171</f>
        <v>1500</v>
      </c>
    </row>
    <row r="172" spans="1:13" ht="23.25" x14ac:dyDescent="0.25">
      <c r="A172" s="45" t="s">
        <v>111</v>
      </c>
      <c r="B172" s="46"/>
      <c r="C172" s="46"/>
      <c r="D172" s="46"/>
      <c r="E172" s="46"/>
      <c r="F172" s="46"/>
      <c r="G172" s="46"/>
      <c r="H172" s="46"/>
      <c r="I172" s="46"/>
      <c r="J172" s="46">
        <f>30000+18000</f>
        <v>48000</v>
      </c>
      <c r="K172" s="46"/>
      <c r="L172" s="46">
        <v>0</v>
      </c>
      <c r="M172" s="47">
        <f>SUM(B172:L172)</f>
        <v>48000</v>
      </c>
    </row>
    <row r="173" spans="1:13" ht="23.25" x14ac:dyDescent="0.25">
      <c r="A173" s="45" t="s">
        <v>112</v>
      </c>
      <c r="B173" s="46">
        <f>10000-2000</f>
        <v>8000</v>
      </c>
      <c r="C173" s="46"/>
      <c r="D173" s="46">
        <f>4000+5630-7630+2000</f>
        <v>4000</v>
      </c>
      <c r="E173" s="46"/>
      <c r="F173" s="46"/>
      <c r="G173" s="46"/>
      <c r="H173" s="46"/>
      <c r="I173" s="46"/>
      <c r="J173" s="46"/>
      <c r="K173" s="46"/>
      <c r="L173" s="46">
        <v>6000</v>
      </c>
      <c r="M173" s="47">
        <f>B173+C173+D173+E173+H173+I173+K173+L173</f>
        <v>18000</v>
      </c>
    </row>
    <row r="174" spans="1:13" ht="23.25" x14ac:dyDescent="0.25">
      <c r="A174" s="45" t="s">
        <v>113</v>
      </c>
      <c r="B174" s="46"/>
      <c r="C174" s="46"/>
      <c r="D174" s="46"/>
      <c r="E174" s="46"/>
      <c r="F174" s="46"/>
      <c r="G174" s="46"/>
      <c r="H174" s="46">
        <f>50000-10000</f>
        <v>40000</v>
      </c>
      <c r="I174" s="46"/>
      <c r="J174" s="46"/>
      <c r="K174" s="46"/>
      <c r="L174" s="46"/>
      <c r="M174" s="47">
        <f>B174+C174+D174+E174+H174+I174+K174+L174</f>
        <v>40000</v>
      </c>
    </row>
    <row r="175" spans="1:13" ht="23.25" x14ac:dyDescent="0.25">
      <c r="A175" s="45" t="s">
        <v>114</v>
      </c>
      <c r="B175" s="46"/>
      <c r="C175" s="46"/>
      <c r="D175" s="46"/>
      <c r="E175" s="46"/>
      <c r="F175" s="46"/>
      <c r="G175" s="46"/>
      <c r="H175" s="46">
        <v>51000</v>
      </c>
      <c r="I175" s="46"/>
      <c r="J175" s="46"/>
      <c r="K175" s="46"/>
      <c r="L175" s="46"/>
      <c r="M175" s="47">
        <f>B175+C175+D175+E175+H175+I175+K175+L175</f>
        <v>51000</v>
      </c>
    </row>
    <row r="176" spans="1:13" ht="30.75" customHeight="1" x14ac:dyDescent="0.25">
      <c r="A176" s="45" t="s">
        <v>132</v>
      </c>
      <c r="B176" s="46"/>
      <c r="C176" s="46"/>
      <c r="D176" s="46"/>
      <c r="E176" s="46"/>
      <c r="F176" s="46"/>
      <c r="G176" s="46"/>
      <c r="H176" s="46">
        <f>100000-50000+50000</f>
        <v>100000</v>
      </c>
      <c r="I176" s="46" t="s">
        <v>116</v>
      </c>
      <c r="J176" s="46"/>
      <c r="K176" s="51"/>
      <c r="L176" s="46"/>
      <c r="M176" s="47">
        <f>SUM(B176:L176)</f>
        <v>100000</v>
      </c>
    </row>
    <row r="177" spans="1:13" ht="23.25" x14ac:dyDescent="0.25">
      <c r="A177" s="45" t="s">
        <v>117</v>
      </c>
      <c r="B177" s="46"/>
      <c r="C177" s="46"/>
      <c r="D177" s="46" t="s">
        <v>118</v>
      </c>
      <c r="E177" s="46"/>
      <c r="F177" s="46"/>
      <c r="G177" s="46"/>
      <c r="H177" s="46"/>
      <c r="I177" s="46"/>
      <c r="J177" s="46">
        <v>1500</v>
      </c>
      <c r="K177" s="51"/>
      <c r="L177" s="51"/>
      <c r="M177" s="47">
        <f>SUM(B177:L177)</f>
        <v>1500</v>
      </c>
    </row>
    <row r="178" spans="1:13" x14ac:dyDescent="0.25">
      <c r="A178" s="45" t="s">
        <v>133</v>
      </c>
      <c r="B178" s="46"/>
      <c r="C178" s="46"/>
      <c r="D178" s="46"/>
      <c r="E178" s="46"/>
      <c r="F178" s="46"/>
      <c r="G178" s="46"/>
      <c r="H178" s="46"/>
      <c r="I178" s="46"/>
      <c r="J178" s="46"/>
      <c r="K178" s="51"/>
      <c r="L178" s="51"/>
      <c r="M178" s="47">
        <f>SUM(B178:L178)</f>
        <v>0</v>
      </c>
    </row>
    <row r="179" spans="1:13" x14ac:dyDescent="0.25">
      <c r="A179" s="45" t="s">
        <v>119</v>
      </c>
      <c r="B179" s="46">
        <v>35000</v>
      </c>
      <c r="C179" s="46"/>
      <c r="D179" s="46"/>
      <c r="E179" s="46"/>
      <c r="F179" s="46"/>
      <c r="G179" s="46"/>
      <c r="H179" s="46"/>
      <c r="I179" s="46"/>
      <c r="J179" s="46"/>
      <c r="K179" s="51"/>
      <c r="L179" s="51"/>
      <c r="M179" s="47">
        <f>B179+C179+D179+E179+H179+I179+K179+L179</f>
        <v>35000</v>
      </c>
    </row>
    <row r="180" spans="1:13" x14ac:dyDescent="0.25">
      <c r="A180" s="45" t="s">
        <v>120</v>
      </c>
      <c r="B180" s="46"/>
      <c r="C180" s="46"/>
      <c r="D180" s="46"/>
      <c r="E180" s="46"/>
      <c r="F180" s="46"/>
      <c r="G180" s="46"/>
      <c r="H180" s="46"/>
      <c r="I180" s="46"/>
      <c r="J180" s="46"/>
      <c r="K180" s="51"/>
      <c r="L180" s="46">
        <v>8000</v>
      </c>
      <c r="M180" s="47">
        <f>B180+C180+D180+E180+H180+I180+K180+L180</f>
        <v>8000</v>
      </c>
    </row>
    <row r="181" spans="1:13" x14ac:dyDescent="0.25">
      <c r="A181" s="45" t="s">
        <v>134</v>
      </c>
      <c r="B181" s="46"/>
      <c r="C181" s="46"/>
      <c r="D181" s="46"/>
      <c r="E181" s="46"/>
      <c r="F181" s="46"/>
      <c r="G181" s="46"/>
      <c r="H181" s="46"/>
      <c r="I181" s="46"/>
      <c r="J181" s="46"/>
      <c r="K181" s="51"/>
      <c r="L181" s="46">
        <f>50000-10000</f>
        <v>40000</v>
      </c>
      <c r="M181" s="47">
        <f>B181+C181+D181+E181+H181+I181+K181+L181</f>
        <v>40000</v>
      </c>
    </row>
    <row r="182" spans="1:13" x14ac:dyDescent="0.25">
      <c r="A182" s="45" t="s">
        <v>135</v>
      </c>
      <c r="B182" s="46"/>
      <c r="C182" s="46"/>
      <c r="D182" s="46"/>
      <c r="E182" s="46"/>
      <c r="F182" s="46"/>
      <c r="G182" s="46"/>
      <c r="H182" s="46">
        <v>20000</v>
      </c>
      <c r="I182" s="46"/>
      <c r="J182" s="46"/>
      <c r="K182" s="51"/>
      <c r="L182" s="46"/>
      <c r="M182" s="47">
        <f>B182+C182+D182+E182+H182+I182+K182+L182</f>
        <v>20000</v>
      </c>
    </row>
    <row r="183" spans="1:13" x14ac:dyDescent="0.25">
      <c r="A183" s="45"/>
      <c r="B183" s="46"/>
      <c r="C183" s="46"/>
      <c r="D183" s="46"/>
      <c r="E183" s="46"/>
      <c r="F183" s="46"/>
      <c r="G183" s="46"/>
      <c r="H183" s="46"/>
      <c r="I183" s="46"/>
      <c r="J183" s="46"/>
      <c r="K183" s="51"/>
      <c r="L183" s="46"/>
      <c r="M183" s="47"/>
    </row>
    <row r="184" spans="1:13" x14ac:dyDescent="0.25">
      <c r="A184" s="48" t="s">
        <v>123</v>
      </c>
      <c r="B184" s="47">
        <f>SUM(B126:B183)</f>
        <v>345500</v>
      </c>
      <c r="C184" s="47">
        <f>SUM(C126:C179)</f>
        <v>281500</v>
      </c>
      <c r="D184" s="47">
        <f>SUM(D126:D182)</f>
        <v>245130</v>
      </c>
      <c r="E184" s="47">
        <f>SUM(E126:E179)</f>
        <v>6000</v>
      </c>
      <c r="F184" s="47">
        <f>SUM(F126:F179)</f>
        <v>11500</v>
      </c>
      <c r="G184" s="47">
        <f>SUM(G126:G180)</f>
        <v>200000</v>
      </c>
      <c r="H184" s="47">
        <f>SUM(H126:H182)</f>
        <v>817000</v>
      </c>
      <c r="I184" s="47">
        <f>SUM(I126:I179)</f>
        <v>181500</v>
      </c>
      <c r="J184" s="47">
        <f>SUM(J126:J179)</f>
        <v>54500</v>
      </c>
      <c r="K184" s="47">
        <f>SUM(K126:K179)</f>
        <v>2500</v>
      </c>
      <c r="L184" s="47">
        <f>SUM(L126:L181)</f>
        <v>104870</v>
      </c>
      <c r="M184" s="47">
        <f>SUM(M126:M182)</f>
        <v>2250000</v>
      </c>
    </row>
    <row r="185" spans="1:13" x14ac:dyDescent="0.25">
      <c r="M185" s="42"/>
    </row>
    <row r="186" spans="1:13" x14ac:dyDescent="0.25">
      <c r="M186" s="52"/>
    </row>
  </sheetData>
  <mergeCells count="3">
    <mergeCell ref="A1:M1"/>
    <mergeCell ref="A62:M62"/>
    <mergeCell ref="A124:M124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workbookViewId="0">
      <selection activeCell="M22" sqref="M22"/>
    </sheetView>
  </sheetViews>
  <sheetFormatPr defaultRowHeight="15" x14ac:dyDescent="0.25"/>
  <cols>
    <col min="1" max="1" width="34.28515625" customWidth="1"/>
    <col min="2" max="2" width="18" customWidth="1"/>
    <col min="3" max="3" width="15" customWidth="1"/>
    <col min="4" max="4" width="18.85546875" customWidth="1"/>
    <col min="5" max="5" width="14.7109375" customWidth="1"/>
    <col min="6" max="6" width="13.5703125" customWidth="1"/>
    <col min="8" max="8" width="13.28515625" style="107" bestFit="1" customWidth="1"/>
  </cols>
  <sheetData>
    <row r="3" spans="1:6" ht="15.75" x14ac:dyDescent="0.25">
      <c r="A3" s="134" t="s">
        <v>242</v>
      </c>
      <c r="B3" s="134"/>
      <c r="C3" s="134"/>
      <c r="D3" s="134"/>
    </row>
    <row r="4" spans="1:6" ht="15.75" x14ac:dyDescent="0.25">
      <c r="A4" s="26" t="s">
        <v>39</v>
      </c>
      <c r="B4" s="26" t="s">
        <v>40</v>
      </c>
      <c r="C4" s="26" t="s">
        <v>41</v>
      </c>
      <c r="D4" s="27" t="s">
        <v>42</v>
      </c>
      <c r="E4" s="130">
        <v>2027</v>
      </c>
      <c r="F4" s="130">
        <v>2028</v>
      </c>
    </row>
    <row r="5" spans="1:6" ht="15.75" x14ac:dyDescent="0.25">
      <c r="A5" s="28" t="s">
        <v>43</v>
      </c>
      <c r="B5" s="29">
        <v>30000</v>
      </c>
      <c r="C5" s="29"/>
      <c r="D5" s="30">
        <f>B5+C5</f>
        <v>30000</v>
      </c>
      <c r="E5" s="30">
        <f>C5+D5</f>
        <v>30000</v>
      </c>
      <c r="F5" s="30">
        <v>30000</v>
      </c>
    </row>
    <row r="6" spans="1:6" ht="15.75" x14ac:dyDescent="0.25">
      <c r="A6" s="28" t="s">
        <v>44</v>
      </c>
      <c r="B6" s="29">
        <v>30000</v>
      </c>
      <c r="C6" s="29"/>
      <c r="D6" s="30">
        <f>B6+C6</f>
        <v>30000</v>
      </c>
      <c r="E6" s="30">
        <f>C6+D6</f>
        <v>30000</v>
      </c>
      <c r="F6" s="30">
        <v>30000</v>
      </c>
    </row>
    <row r="7" spans="1:6" ht="15.75" x14ac:dyDescent="0.25">
      <c r="A7" s="28" t="s">
        <v>45</v>
      </c>
      <c r="B7" s="29">
        <v>200000</v>
      </c>
      <c r="C7" s="29">
        <v>50000</v>
      </c>
      <c r="D7" s="30">
        <f>B7+C7</f>
        <v>250000</v>
      </c>
      <c r="E7" s="30">
        <v>250000</v>
      </c>
      <c r="F7" s="30">
        <v>314244</v>
      </c>
    </row>
    <row r="8" spans="1:6" ht="15.75" x14ac:dyDescent="0.25">
      <c r="A8" s="28" t="s">
        <v>46</v>
      </c>
      <c r="B8" s="29">
        <v>10000</v>
      </c>
      <c r="C8" s="29"/>
      <c r="D8" s="30">
        <f>B8+C8</f>
        <v>10000</v>
      </c>
      <c r="E8" s="30">
        <f>C8+D8</f>
        <v>10000</v>
      </c>
      <c r="F8" s="30">
        <v>20000</v>
      </c>
    </row>
    <row r="9" spans="1:6" ht="15.75" x14ac:dyDescent="0.25">
      <c r="A9" s="27" t="s">
        <v>47</v>
      </c>
      <c r="B9" s="31">
        <f>SUM(B5:B8)</f>
        <v>270000</v>
      </c>
      <c r="C9" s="31">
        <f>SUM(C5:C8)</f>
        <v>50000</v>
      </c>
      <c r="D9" s="30">
        <f>B9+C9</f>
        <v>320000</v>
      </c>
      <c r="E9" s="30">
        <f>SUM(E5:E8)</f>
        <v>320000</v>
      </c>
      <c r="F9" s="30">
        <f>SUM(F5:F8)</f>
        <v>394244</v>
      </c>
    </row>
    <row r="10" spans="1:6" ht="15.75" x14ac:dyDescent="0.25">
      <c r="A10" s="32"/>
      <c r="B10" s="33"/>
      <c r="C10" s="33"/>
      <c r="D10" s="34"/>
    </row>
    <row r="11" spans="1:6" ht="15.75" x14ac:dyDescent="0.25">
      <c r="A11" s="32"/>
      <c r="B11" s="33"/>
      <c r="C11" s="33"/>
      <c r="D11" s="34"/>
    </row>
    <row r="12" spans="1:6" x14ac:dyDescent="0.25">
      <c r="A12" s="35"/>
      <c r="B12" s="35"/>
      <c r="C12" s="35"/>
      <c r="D12" s="35"/>
    </row>
    <row r="13" spans="1:6" x14ac:dyDescent="0.25">
      <c r="A13" s="35"/>
      <c r="B13" s="35"/>
      <c r="C13" s="35"/>
      <c r="D13" s="35"/>
    </row>
    <row r="14" spans="1:6" ht="15.75" x14ac:dyDescent="0.25">
      <c r="A14" s="135" t="s">
        <v>243</v>
      </c>
      <c r="B14" s="135"/>
      <c r="C14" s="135"/>
      <c r="D14" s="135"/>
    </row>
    <row r="15" spans="1:6" ht="15.75" x14ac:dyDescent="0.25">
      <c r="A15" s="36" t="s">
        <v>236</v>
      </c>
      <c r="B15" s="37" t="s">
        <v>48</v>
      </c>
      <c r="C15" s="36" t="s">
        <v>49</v>
      </c>
      <c r="D15" s="38" t="s">
        <v>42</v>
      </c>
      <c r="E15" s="129">
        <v>2027</v>
      </c>
      <c r="F15" s="129">
        <v>2028</v>
      </c>
    </row>
    <row r="16" spans="1:6" ht="15.75" x14ac:dyDescent="0.25">
      <c r="A16" s="28" t="s">
        <v>237</v>
      </c>
      <c r="B16" s="29"/>
      <c r="C16" s="29">
        <v>10000</v>
      </c>
      <c r="D16" s="39">
        <f>B16+C16</f>
        <v>10000</v>
      </c>
      <c r="E16" s="128">
        <v>10000</v>
      </c>
      <c r="F16" s="131">
        <v>20000</v>
      </c>
    </row>
    <row r="17" spans="1:6" ht="15.75" x14ac:dyDescent="0.25">
      <c r="A17" s="28" t="s">
        <v>238</v>
      </c>
      <c r="B17" s="29">
        <f>100000-50000</f>
        <v>50000</v>
      </c>
      <c r="C17" s="29">
        <f>50000-50000</f>
        <v>0</v>
      </c>
      <c r="D17" s="39">
        <f t="shared" ref="D17:D24" si="0">B17+C17</f>
        <v>50000</v>
      </c>
      <c r="E17" s="128">
        <v>50000</v>
      </c>
      <c r="F17" s="131">
        <v>50000</v>
      </c>
    </row>
    <row r="18" spans="1:6" ht="15.75" x14ac:dyDescent="0.25">
      <c r="A18" s="28" t="s">
        <v>239</v>
      </c>
      <c r="B18" s="29">
        <f>380000-100000-80000</f>
        <v>200000</v>
      </c>
      <c r="C18" s="29">
        <v>100000</v>
      </c>
      <c r="D18" s="39">
        <f t="shared" si="0"/>
        <v>300000</v>
      </c>
      <c r="E18" s="128">
        <v>300000</v>
      </c>
      <c r="F18" s="131">
        <v>300000</v>
      </c>
    </row>
    <row r="19" spans="1:6" ht="15.75" x14ac:dyDescent="0.25">
      <c r="A19" s="28" t="s">
        <v>240</v>
      </c>
      <c r="B19" s="29">
        <v>150000</v>
      </c>
      <c r="C19" s="29">
        <f>100000+50000-50000</f>
        <v>100000</v>
      </c>
      <c r="D19" s="39">
        <f t="shared" si="0"/>
        <v>250000</v>
      </c>
      <c r="E19" s="128">
        <v>250000</v>
      </c>
      <c r="F19" s="131">
        <v>250000</v>
      </c>
    </row>
    <row r="20" spans="1:6" ht="15.75" x14ac:dyDescent="0.25">
      <c r="A20" s="28" t="s">
        <v>241</v>
      </c>
      <c r="B20" s="29"/>
      <c r="C20" s="29">
        <v>3000</v>
      </c>
      <c r="D20" s="39">
        <f t="shared" si="0"/>
        <v>3000</v>
      </c>
      <c r="E20" s="128">
        <v>3000</v>
      </c>
      <c r="F20" s="131">
        <v>3000</v>
      </c>
    </row>
    <row r="21" spans="1:6" ht="15.75" x14ac:dyDescent="0.25">
      <c r="A21" s="28" t="s">
        <v>44</v>
      </c>
      <c r="B21" s="29">
        <f>310000-10000-70000-30000</f>
        <v>200000</v>
      </c>
      <c r="C21" s="29">
        <v>4000</v>
      </c>
      <c r="D21" s="39">
        <f t="shared" si="0"/>
        <v>204000</v>
      </c>
      <c r="E21" s="128">
        <v>204000</v>
      </c>
      <c r="F21" s="131">
        <v>250000</v>
      </c>
    </row>
    <row r="22" spans="1:6" ht="15.75" x14ac:dyDescent="0.25">
      <c r="A22" s="28" t="s">
        <v>45</v>
      </c>
      <c r="B22" s="29">
        <f>200000-120000-3000-7000+30000</f>
        <v>100000</v>
      </c>
      <c r="C22" s="29">
        <f>7000+40000+36000</f>
        <v>83000</v>
      </c>
      <c r="D22" s="39">
        <f t="shared" si="0"/>
        <v>183000</v>
      </c>
      <c r="E22" s="128">
        <v>183000</v>
      </c>
      <c r="F22" s="131">
        <f>183000+24000</f>
        <v>207000</v>
      </c>
    </row>
    <row r="23" spans="1:6" ht="15.75" x14ac:dyDescent="0.25">
      <c r="A23" s="28" t="s">
        <v>51</v>
      </c>
      <c r="B23" s="29"/>
      <c r="C23" s="29">
        <v>100000</v>
      </c>
      <c r="D23" s="39">
        <f t="shared" si="0"/>
        <v>100000</v>
      </c>
      <c r="E23" s="128">
        <v>100000</v>
      </c>
      <c r="F23" s="131">
        <v>120000</v>
      </c>
    </row>
    <row r="24" spans="1:6" ht="15.75" x14ac:dyDescent="0.25">
      <c r="A24" s="27" t="s">
        <v>50</v>
      </c>
      <c r="B24" s="31">
        <f>SUM(B16:B23)</f>
        <v>700000</v>
      </c>
      <c r="C24" s="31">
        <f>SUM(C16:C23)</f>
        <v>400000</v>
      </c>
      <c r="D24" s="40">
        <f t="shared" si="0"/>
        <v>1100000</v>
      </c>
      <c r="E24" s="131">
        <f>SUM(E16:E23)</f>
        <v>1100000</v>
      </c>
      <c r="F24" s="131">
        <f>SUM(F16:F23)</f>
        <v>1200000</v>
      </c>
    </row>
    <row r="25" spans="1:6" x14ac:dyDescent="0.25">
      <c r="A25" s="35"/>
      <c r="B25" s="35"/>
      <c r="C25" s="35"/>
      <c r="D25" s="35"/>
    </row>
    <row r="26" spans="1:6" x14ac:dyDescent="0.25">
      <c r="A26" s="35"/>
      <c r="B26" s="35"/>
      <c r="C26" s="35"/>
      <c r="D26" s="35"/>
    </row>
    <row r="27" spans="1:6" x14ac:dyDescent="0.25">
      <c r="A27" s="35"/>
      <c r="B27" s="35"/>
      <c r="C27" s="35"/>
      <c r="D27" s="35"/>
    </row>
    <row r="28" spans="1:6" x14ac:dyDescent="0.25">
      <c r="A28" s="35"/>
      <c r="B28" s="35"/>
      <c r="C28" s="35"/>
      <c r="D28" s="35"/>
    </row>
    <row r="29" spans="1:6" x14ac:dyDescent="0.25">
      <c r="A29" s="35"/>
      <c r="B29" s="35"/>
      <c r="C29" s="35"/>
      <c r="D29" s="35"/>
    </row>
    <row r="30" spans="1:6" x14ac:dyDescent="0.25">
      <c r="A30" s="35"/>
      <c r="B30" s="35"/>
      <c r="C30" s="35"/>
      <c r="D30" s="35"/>
    </row>
    <row r="31" spans="1:6" x14ac:dyDescent="0.25">
      <c r="A31" s="35"/>
      <c r="B31" s="35"/>
      <c r="C31" s="35"/>
      <c r="D31" s="35"/>
    </row>
    <row r="32" spans="1:6" x14ac:dyDescent="0.25">
      <c r="A32" s="35"/>
      <c r="B32" s="35"/>
      <c r="C32" s="35"/>
      <c r="D32" s="35"/>
    </row>
    <row r="33" spans="1:4" x14ac:dyDescent="0.25">
      <c r="A33" s="35"/>
      <c r="B33" s="35"/>
      <c r="C33" s="35"/>
      <c r="D33" s="35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</sheetData>
  <mergeCells count="2">
    <mergeCell ref="A3:D3"/>
    <mergeCell ref="A14:D1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15" workbookViewId="0">
      <selection sqref="A1:D30"/>
    </sheetView>
  </sheetViews>
  <sheetFormatPr defaultRowHeight="15" x14ac:dyDescent="0.25"/>
  <cols>
    <col min="1" max="1" width="64.28515625" style="70" customWidth="1"/>
    <col min="2" max="4" width="18.28515625" style="41" bestFit="1" customWidth="1"/>
    <col min="5" max="16384" width="9.140625" style="41"/>
  </cols>
  <sheetData>
    <row r="1" spans="1:4" ht="15.75" x14ac:dyDescent="0.25">
      <c r="A1" s="53" t="s">
        <v>137</v>
      </c>
      <c r="B1" s="54">
        <v>2026</v>
      </c>
      <c r="C1" s="54">
        <v>2027</v>
      </c>
      <c r="D1" s="54">
        <v>2028</v>
      </c>
    </row>
    <row r="2" spans="1:4" ht="15.75" x14ac:dyDescent="0.25">
      <c r="A2" s="55" t="s">
        <v>138</v>
      </c>
      <c r="B2" s="56">
        <v>20000</v>
      </c>
      <c r="C2" s="56"/>
      <c r="D2" s="56"/>
    </row>
    <row r="3" spans="1:4" ht="15.75" x14ac:dyDescent="0.25">
      <c r="A3" s="57" t="s">
        <v>139</v>
      </c>
      <c r="B3" s="58">
        <f>2300000+1000000</f>
        <v>3300000</v>
      </c>
      <c r="C3" s="58">
        <v>2300000</v>
      </c>
      <c r="D3" s="58">
        <v>2295843</v>
      </c>
    </row>
    <row r="4" spans="1:4" ht="15.75" x14ac:dyDescent="0.25">
      <c r="A4" s="57" t="s">
        <v>140</v>
      </c>
      <c r="B4" s="58">
        <v>113959</v>
      </c>
      <c r="C4" s="58">
        <v>113958</v>
      </c>
      <c r="D4" s="58">
        <v>113958</v>
      </c>
    </row>
    <row r="5" spans="1:4" ht="31.5" x14ac:dyDescent="0.25">
      <c r="A5" s="57" t="s">
        <v>141</v>
      </c>
      <c r="B5" s="58">
        <v>50000</v>
      </c>
      <c r="C5" s="58">
        <v>1000000</v>
      </c>
      <c r="D5" s="58">
        <v>1800000</v>
      </c>
    </row>
    <row r="6" spans="1:4" ht="15.75" x14ac:dyDescent="0.25">
      <c r="A6" s="57" t="s">
        <v>142</v>
      </c>
      <c r="B6" s="58">
        <f>1400000-400000</f>
        <v>1000000</v>
      </c>
      <c r="C6" s="58">
        <f>1000000+400000</f>
        <v>1400000</v>
      </c>
      <c r="D6" s="58">
        <v>500000</v>
      </c>
    </row>
    <row r="7" spans="1:4" ht="15.75" x14ac:dyDescent="0.25">
      <c r="A7" s="55" t="s">
        <v>143</v>
      </c>
      <c r="B7" s="58">
        <v>50000</v>
      </c>
      <c r="C7" s="58">
        <v>450000</v>
      </c>
      <c r="D7" s="58">
        <f>550000+50000-105000</f>
        <v>495000</v>
      </c>
    </row>
    <row r="8" spans="1:4" ht="15.75" x14ac:dyDescent="0.25">
      <c r="A8" s="55" t="s">
        <v>144</v>
      </c>
      <c r="B8" s="58">
        <v>150000</v>
      </c>
      <c r="C8" s="58"/>
      <c r="D8" s="58"/>
    </row>
    <row r="9" spans="1:4" ht="15.75" x14ac:dyDescent="0.25">
      <c r="A9" s="57" t="s">
        <v>145</v>
      </c>
      <c r="B9" s="58">
        <v>500000</v>
      </c>
      <c r="C9" s="58">
        <f>500000-124311</f>
        <v>375689</v>
      </c>
      <c r="D9" s="58">
        <f>200000+360733+100000</f>
        <v>660733</v>
      </c>
    </row>
    <row r="10" spans="1:4" ht="15.75" x14ac:dyDescent="0.25">
      <c r="A10" s="59" t="s">
        <v>146</v>
      </c>
      <c r="B10" s="60">
        <f>99700-79700</f>
        <v>20000</v>
      </c>
      <c r="C10" s="60">
        <v>79700</v>
      </c>
      <c r="D10" s="60"/>
    </row>
    <row r="11" spans="1:4" ht="15.75" x14ac:dyDescent="0.25">
      <c r="A11" s="59" t="s">
        <v>147</v>
      </c>
      <c r="B11" s="60">
        <v>20000</v>
      </c>
      <c r="C11" s="60"/>
      <c r="D11" s="60"/>
    </row>
    <row r="12" spans="1:4" ht="15.75" x14ac:dyDescent="0.25">
      <c r="A12" s="59" t="s">
        <v>148</v>
      </c>
      <c r="B12" s="60">
        <f>70000-20000</f>
        <v>50000</v>
      </c>
      <c r="C12" s="60">
        <v>50000</v>
      </c>
      <c r="D12" s="60">
        <f>153632-35100</f>
        <v>118532</v>
      </c>
    </row>
    <row r="13" spans="1:4" ht="15.75" x14ac:dyDescent="0.25">
      <c r="A13" s="59" t="s">
        <v>149</v>
      </c>
      <c r="B13" s="60">
        <v>100000</v>
      </c>
      <c r="C13" s="60"/>
      <c r="D13" s="60"/>
    </row>
    <row r="14" spans="1:4" ht="15.75" x14ac:dyDescent="0.25">
      <c r="A14" s="59" t="s">
        <v>150</v>
      </c>
      <c r="B14" s="60">
        <f>100000-90000</f>
        <v>10000</v>
      </c>
      <c r="C14" s="60">
        <f>290000-190000</f>
        <v>100000</v>
      </c>
      <c r="D14" s="60">
        <v>290000</v>
      </c>
    </row>
    <row r="15" spans="1:4" ht="31.5" x14ac:dyDescent="0.25">
      <c r="A15" s="61" t="s">
        <v>151</v>
      </c>
      <c r="B15" s="60">
        <f>80000-50000</f>
        <v>30000</v>
      </c>
      <c r="C15" s="60"/>
      <c r="D15" s="60"/>
    </row>
    <row r="16" spans="1:4" ht="31.5" x14ac:dyDescent="0.25">
      <c r="A16" s="61" t="s">
        <v>152</v>
      </c>
      <c r="B16" s="60">
        <f>80000-50000</f>
        <v>30000</v>
      </c>
      <c r="C16" s="60"/>
      <c r="D16" s="60"/>
    </row>
    <row r="17" spans="1:4" ht="15.75" x14ac:dyDescent="0.25">
      <c r="A17" s="61" t="s">
        <v>153</v>
      </c>
      <c r="B17" s="60">
        <v>50000</v>
      </c>
      <c r="C17" s="60"/>
      <c r="D17" s="60"/>
    </row>
    <row r="18" spans="1:4" ht="15.75" x14ac:dyDescent="0.25">
      <c r="A18" s="61" t="s">
        <v>154</v>
      </c>
      <c r="B18" s="60">
        <v>50000</v>
      </c>
      <c r="C18" s="60">
        <v>50000</v>
      </c>
      <c r="D18" s="60">
        <v>224000</v>
      </c>
    </row>
    <row r="19" spans="1:4" ht="31.5" x14ac:dyDescent="0.25">
      <c r="A19" s="61" t="s">
        <v>155</v>
      </c>
      <c r="B19" s="60">
        <v>40000</v>
      </c>
      <c r="C19" s="60">
        <v>50000</v>
      </c>
      <c r="D19" s="60">
        <v>50000</v>
      </c>
    </row>
    <row r="20" spans="1:4" ht="31.5" x14ac:dyDescent="0.25">
      <c r="A20" s="62" t="s">
        <v>156</v>
      </c>
      <c r="B20" s="136">
        <f>291000-191000</f>
        <v>100000</v>
      </c>
      <c r="C20" s="138">
        <v>191000</v>
      </c>
      <c r="D20" s="138"/>
    </row>
    <row r="21" spans="1:4" ht="31.5" x14ac:dyDescent="0.25">
      <c r="A21" s="63" t="s">
        <v>157</v>
      </c>
      <c r="B21" s="137"/>
      <c r="C21" s="137"/>
      <c r="D21" s="137"/>
    </row>
    <row r="22" spans="1:4" ht="31.5" x14ac:dyDescent="0.25">
      <c r="A22" s="63" t="s">
        <v>158</v>
      </c>
      <c r="B22" s="60">
        <v>50000</v>
      </c>
      <c r="C22" s="60">
        <v>50000</v>
      </c>
      <c r="D22" s="60">
        <v>100000</v>
      </c>
    </row>
    <row r="23" spans="1:4" ht="47.25" x14ac:dyDescent="0.25">
      <c r="A23" s="63" t="s">
        <v>159</v>
      </c>
      <c r="B23" s="60">
        <v>50000</v>
      </c>
      <c r="C23" s="60">
        <v>50000</v>
      </c>
      <c r="D23" s="60">
        <v>87000</v>
      </c>
    </row>
    <row r="24" spans="1:4" ht="63" x14ac:dyDescent="0.25">
      <c r="A24" s="61" t="s">
        <v>160</v>
      </c>
      <c r="B24" s="60">
        <f>459000+41000-250000-65370</f>
        <v>184630</v>
      </c>
      <c r="C24" s="60">
        <v>100000</v>
      </c>
      <c r="D24" s="60">
        <v>215370</v>
      </c>
    </row>
    <row r="25" spans="1:4" ht="15.75" x14ac:dyDescent="0.25">
      <c r="A25" s="59" t="s">
        <v>161</v>
      </c>
      <c r="B25" s="60">
        <v>120000</v>
      </c>
      <c r="C25" s="60"/>
      <c r="D25" s="60"/>
    </row>
    <row r="26" spans="1:4" ht="63" x14ac:dyDescent="0.25">
      <c r="A26" s="61" t="s">
        <v>162</v>
      </c>
      <c r="B26" s="60">
        <f>100000+98000+70000+65000+57000-290000</f>
        <v>100000</v>
      </c>
      <c r="C26" s="60">
        <v>290000</v>
      </c>
      <c r="D26" s="60"/>
    </row>
    <row r="27" spans="1:4" ht="47.25" x14ac:dyDescent="0.25">
      <c r="A27" s="61" t="s">
        <v>163</v>
      </c>
      <c r="B27" s="60">
        <f>50000+21000+90000+68000+66000+37000+13000-245000</f>
        <v>100000</v>
      </c>
      <c r="C27" s="60">
        <v>245000</v>
      </c>
      <c r="D27" s="60"/>
    </row>
    <row r="28" spans="1:4" ht="15.75" x14ac:dyDescent="0.25">
      <c r="A28" s="59" t="s">
        <v>164</v>
      </c>
      <c r="B28" s="60">
        <v>40000</v>
      </c>
      <c r="C28" s="60">
        <v>40000</v>
      </c>
      <c r="D28" s="60">
        <v>116000</v>
      </c>
    </row>
    <row r="29" spans="1:4" ht="31.5" x14ac:dyDescent="0.25">
      <c r="A29" s="64" t="s">
        <v>165</v>
      </c>
      <c r="B29" s="58"/>
      <c r="C29" s="58">
        <v>250000</v>
      </c>
      <c r="D29" s="58">
        <v>200000</v>
      </c>
    </row>
    <row r="30" spans="1:4" ht="15.75" x14ac:dyDescent="0.25">
      <c r="A30" s="53" t="s">
        <v>166</v>
      </c>
      <c r="B30" s="65">
        <f>SUM(B2:B29)-1</f>
        <v>6328588</v>
      </c>
      <c r="C30" s="65">
        <f>SUM(C2:C29)</f>
        <v>7185347</v>
      </c>
      <c r="D30" s="65">
        <f>SUM(D2:D29)</f>
        <v>7266436</v>
      </c>
    </row>
    <row r="31" spans="1:4" x14ac:dyDescent="0.25">
      <c r="A31" s="66"/>
      <c r="B31" s="67"/>
      <c r="C31" s="68"/>
      <c r="D31" s="69"/>
    </row>
    <row r="32" spans="1:4" x14ac:dyDescent="0.25">
      <c r="A32" s="66"/>
      <c r="B32" s="67"/>
      <c r="C32" s="68"/>
      <c r="D32" s="69"/>
    </row>
    <row r="33" spans="1:4" x14ac:dyDescent="0.25">
      <c r="A33" s="66"/>
      <c r="B33" s="67"/>
      <c r="C33" s="68"/>
      <c r="D33" s="69"/>
    </row>
    <row r="34" spans="1:4" x14ac:dyDescent="0.25">
      <c r="A34" s="66"/>
      <c r="B34" s="67"/>
      <c r="C34" s="68"/>
      <c r="D34" s="69"/>
    </row>
    <row r="35" spans="1:4" x14ac:dyDescent="0.25">
      <c r="A35" s="66"/>
      <c r="B35" s="67"/>
      <c r="C35" s="68"/>
      <c r="D35" s="69"/>
    </row>
    <row r="36" spans="1:4" x14ac:dyDescent="0.25">
      <c r="A36" s="66"/>
      <c r="B36" s="67"/>
      <c r="C36" s="68"/>
      <c r="D36" s="69"/>
    </row>
    <row r="37" spans="1:4" x14ac:dyDescent="0.25">
      <c r="A37" s="66"/>
      <c r="B37" s="67"/>
      <c r="C37" s="68"/>
      <c r="D37" s="69"/>
    </row>
    <row r="38" spans="1:4" x14ac:dyDescent="0.25">
      <c r="A38" s="66"/>
      <c r="B38" s="67"/>
      <c r="C38" s="68"/>
      <c r="D38" s="69"/>
    </row>
    <row r="39" spans="1:4" x14ac:dyDescent="0.25">
      <c r="A39" s="66"/>
      <c r="B39" s="67"/>
      <c r="C39" s="68"/>
      <c r="D39" s="69"/>
    </row>
    <row r="40" spans="1:4" x14ac:dyDescent="0.25">
      <c r="A40" s="66"/>
      <c r="B40" s="67"/>
      <c r="C40" s="68"/>
      <c r="D40" s="69"/>
    </row>
    <row r="41" spans="1:4" x14ac:dyDescent="0.25">
      <c r="A41" s="66"/>
      <c r="B41" s="67"/>
      <c r="C41" s="68"/>
      <c r="D41" s="69"/>
    </row>
    <row r="42" spans="1:4" x14ac:dyDescent="0.25">
      <c r="A42" s="66"/>
      <c r="B42" s="67"/>
      <c r="C42" s="68"/>
      <c r="D42" s="69"/>
    </row>
    <row r="43" spans="1:4" x14ac:dyDescent="0.25">
      <c r="A43" s="66"/>
      <c r="B43" s="67"/>
      <c r="C43" s="68"/>
      <c r="D43" s="69"/>
    </row>
    <row r="44" spans="1:4" x14ac:dyDescent="0.25">
      <c r="A44" s="66"/>
      <c r="B44" s="67"/>
      <c r="C44" s="68"/>
      <c r="D44" s="69"/>
    </row>
    <row r="45" spans="1:4" x14ac:dyDescent="0.25">
      <c r="A45" s="66"/>
      <c r="B45" s="67"/>
      <c r="C45" s="68"/>
      <c r="D45" s="69"/>
    </row>
    <row r="46" spans="1:4" x14ac:dyDescent="0.25">
      <c r="A46" s="66"/>
      <c r="B46" s="67"/>
      <c r="C46" s="68"/>
      <c r="D46" s="69"/>
    </row>
    <row r="47" spans="1:4" x14ac:dyDescent="0.25">
      <c r="A47" s="66"/>
      <c r="B47" s="67"/>
      <c r="C47" s="68"/>
      <c r="D47" s="69"/>
    </row>
    <row r="50" spans="1:4" ht="18.75" x14ac:dyDescent="0.3">
      <c r="A50" s="71"/>
      <c r="B50" s="72"/>
      <c r="C50" s="72"/>
      <c r="D50" s="72"/>
    </row>
    <row r="51" spans="1:4" ht="15.75" x14ac:dyDescent="0.25">
      <c r="A51" s="73"/>
      <c r="B51" s="74"/>
      <c r="C51" s="74"/>
      <c r="D51" s="74"/>
    </row>
    <row r="52" spans="1:4" ht="15.75" x14ac:dyDescent="0.25">
      <c r="A52" s="73"/>
      <c r="B52" s="74"/>
      <c r="C52" s="74"/>
      <c r="D52" s="74"/>
    </row>
    <row r="53" spans="1:4" ht="15.75" x14ac:dyDescent="0.25">
      <c r="A53" s="73"/>
      <c r="B53" s="74"/>
      <c r="C53" s="74"/>
      <c r="D53" s="74"/>
    </row>
    <row r="54" spans="1:4" ht="15.75" x14ac:dyDescent="0.25">
      <c r="A54" s="73"/>
      <c r="B54" s="74"/>
      <c r="C54" s="74"/>
      <c r="D54" s="74"/>
    </row>
    <row r="55" spans="1:4" ht="15.75" x14ac:dyDescent="0.25">
      <c r="A55" s="75"/>
      <c r="B55" s="74"/>
      <c r="C55" s="74"/>
      <c r="D55" s="74"/>
    </row>
    <row r="56" spans="1:4" ht="15.75" x14ac:dyDescent="0.25">
      <c r="A56" s="73"/>
      <c r="B56" s="74"/>
      <c r="C56" s="74"/>
      <c r="D56" s="74"/>
    </row>
    <row r="57" spans="1:4" ht="15.75" x14ac:dyDescent="0.25">
      <c r="A57" s="76"/>
      <c r="B57" s="74"/>
      <c r="C57" s="74"/>
      <c r="D57" s="74"/>
    </row>
    <row r="58" spans="1:4" ht="15.75" x14ac:dyDescent="0.25">
      <c r="A58" s="71"/>
      <c r="B58" s="77"/>
      <c r="C58" s="77"/>
      <c r="D58" s="77"/>
    </row>
    <row r="59" spans="1:4" x14ac:dyDescent="0.25">
      <c r="A59" s="66"/>
      <c r="B59" s="78"/>
      <c r="C59" s="78"/>
      <c r="D59" s="78"/>
    </row>
    <row r="60" spans="1:4" x14ac:dyDescent="0.25">
      <c r="A60" s="66"/>
      <c r="B60" s="78"/>
      <c r="C60" s="78"/>
      <c r="D60" s="78"/>
    </row>
    <row r="61" spans="1:4" x14ac:dyDescent="0.25">
      <c r="A61" s="66"/>
      <c r="B61" s="78"/>
      <c r="C61" s="78"/>
      <c r="D61" s="78"/>
    </row>
    <row r="62" spans="1:4" ht="18.75" x14ac:dyDescent="0.3">
      <c r="A62" s="79"/>
      <c r="B62" s="80"/>
      <c r="C62" s="81"/>
      <c r="D62" s="81"/>
    </row>
    <row r="63" spans="1:4" ht="18.75" x14ac:dyDescent="0.3">
      <c r="A63" s="79"/>
      <c r="B63" s="80"/>
      <c r="C63" s="81"/>
      <c r="D63" s="81"/>
    </row>
  </sheetData>
  <mergeCells count="3">
    <mergeCell ref="B20:B21"/>
    <mergeCell ref="C20:C21"/>
    <mergeCell ref="D20:D2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3" sqref="A3:G13"/>
    </sheetView>
  </sheetViews>
  <sheetFormatPr defaultRowHeight="15" x14ac:dyDescent="0.25"/>
  <cols>
    <col min="1" max="1" width="37.28515625" customWidth="1"/>
    <col min="2" max="2" width="15.7109375" bestFit="1" customWidth="1"/>
    <col min="3" max="3" width="15.42578125" customWidth="1"/>
    <col min="4" max="4" width="14.5703125" bestFit="1" customWidth="1"/>
    <col min="5" max="5" width="14.42578125" customWidth="1"/>
    <col min="6" max="6" width="15.7109375" bestFit="1" customWidth="1"/>
  </cols>
  <sheetData>
    <row r="3" spans="1:7" ht="20.25" x14ac:dyDescent="0.3">
      <c r="A3" s="145" t="s">
        <v>244</v>
      </c>
      <c r="B3" s="145"/>
      <c r="C3" s="145"/>
      <c r="D3" s="145"/>
      <c r="E3" s="82"/>
    </row>
    <row r="4" spans="1:7" ht="31.5" x14ac:dyDescent="0.25">
      <c r="A4" s="83" t="s">
        <v>167</v>
      </c>
      <c r="B4" s="84" t="s">
        <v>168</v>
      </c>
      <c r="C4" s="84" t="s">
        <v>169</v>
      </c>
      <c r="D4" s="84" t="s">
        <v>170</v>
      </c>
      <c r="E4" s="84" t="s">
        <v>171</v>
      </c>
      <c r="F4" s="85" t="s">
        <v>50</v>
      </c>
      <c r="G4" s="89" t="s">
        <v>245</v>
      </c>
    </row>
    <row r="5" spans="1:7" ht="15.75" x14ac:dyDescent="0.25">
      <c r="A5" s="86" t="s">
        <v>172</v>
      </c>
      <c r="B5" s="87">
        <v>15000000</v>
      </c>
      <c r="C5" s="87">
        <f>9360000+1500000</f>
        <v>10860000</v>
      </c>
      <c r="D5" s="87">
        <v>1000000</v>
      </c>
      <c r="E5" s="87"/>
      <c r="F5" s="88">
        <f>B5+C5+D5</f>
        <v>26860000</v>
      </c>
      <c r="G5" s="89" t="s">
        <v>173</v>
      </c>
    </row>
    <row r="6" spans="1:7" ht="31.5" x14ac:dyDescent="0.25">
      <c r="A6" s="86" t="s">
        <v>174</v>
      </c>
      <c r="B6" s="87">
        <v>3000000</v>
      </c>
      <c r="C6" s="87">
        <v>1000000</v>
      </c>
      <c r="D6" s="87">
        <v>2000000</v>
      </c>
      <c r="E6" s="87"/>
      <c r="F6" s="88">
        <f t="shared" ref="F6:F11" si="0">B6+C6+D6</f>
        <v>6000000</v>
      </c>
      <c r="G6" s="90" t="s">
        <v>173</v>
      </c>
    </row>
    <row r="7" spans="1:7" ht="31.5" x14ac:dyDescent="0.25">
      <c r="A7" s="86" t="s">
        <v>175</v>
      </c>
      <c r="B7" s="87">
        <v>2000000</v>
      </c>
      <c r="C7" s="87">
        <v>1500000</v>
      </c>
      <c r="D7" s="87">
        <f>930000+500000</f>
        <v>1430000</v>
      </c>
      <c r="E7" s="87"/>
      <c r="F7" s="88">
        <f t="shared" si="0"/>
        <v>4930000</v>
      </c>
      <c r="G7" s="90" t="s">
        <v>176</v>
      </c>
    </row>
    <row r="8" spans="1:7" ht="47.25" x14ac:dyDescent="0.25">
      <c r="A8" s="86" t="s">
        <v>177</v>
      </c>
      <c r="B8" s="87">
        <v>1000000</v>
      </c>
      <c r="C8" s="87"/>
      <c r="D8" s="87">
        <f>1500000-520000</f>
        <v>980000</v>
      </c>
      <c r="E8" s="87"/>
      <c r="F8" s="88">
        <f t="shared" si="0"/>
        <v>1980000</v>
      </c>
      <c r="G8" s="90" t="s">
        <v>176</v>
      </c>
    </row>
    <row r="9" spans="1:7" ht="31.5" x14ac:dyDescent="0.25">
      <c r="A9" s="86" t="s">
        <v>178</v>
      </c>
      <c r="B9" s="87">
        <v>2000000</v>
      </c>
      <c r="C9" s="87">
        <v>1000000</v>
      </c>
      <c r="D9" s="87">
        <v>800000</v>
      </c>
      <c r="E9" s="87"/>
      <c r="F9" s="88">
        <f t="shared" si="0"/>
        <v>3800000</v>
      </c>
      <c r="G9" s="90" t="s">
        <v>176</v>
      </c>
    </row>
    <row r="10" spans="1:7" ht="31.5" x14ac:dyDescent="0.25">
      <c r="A10" s="86" t="s">
        <v>179</v>
      </c>
      <c r="B10" s="87">
        <v>1000000</v>
      </c>
      <c r="C10" s="87"/>
      <c r="E10" s="87">
        <v>1000000</v>
      </c>
      <c r="F10" s="88">
        <f>B10+C10+E10</f>
        <v>2000000</v>
      </c>
      <c r="G10" s="90" t="s">
        <v>180</v>
      </c>
    </row>
    <row r="11" spans="1:7" ht="15.75" x14ac:dyDescent="0.25">
      <c r="A11" s="86" t="s">
        <v>181</v>
      </c>
      <c r="B11" s="87"/>
      <c r="C11" s="87"/>
      <c r="D11" s="87">
        <v>1320510.53</v>
      </c>
      <c r="E11" s="87"/>
      <c r="F11" s="88">
        <f t="shared" si="0"/>
        <v>1320510.53</v>
      </c>
      <c r="G11" s="90" t="s">
        <v>176</v>
      </c>
    </row>
    <row r="12" spans="1:7" ht="15.75" x14ac:dyDescent="0.25">
      <c r="A12" s="86" t="s">
        <v>182</v>
      </c>
      <c r="B12" s="87"/>
      <c r="C12" s="87"/>
      <c r="D12" s="87"/>
      <c r="E12" s="87">
        <v>900000</v>
      </c>
      <c r="F12" s="88">
        <f>B12+C12+D12+E12</f>
        <v>900000</v>
      </c>
      <c r="G12" s="90" t="s">
        <v>180</v>
      </c>
    </row>
    <row r="13" spans="1:7" ht="15.75" x14ac:dyDescent="0.25">
      <c r="A13" s="85" t="s">
        <v>50</v>
      </c>
      <c r="B13" s="91">
        <f>SUM(B5:B10)</f>
        <v>24000000</v>
      </c>
      <c r="C13" s="91">
        <f>SUM(C5:C12)</f>
        <v>14360000</v>
      </c>
      <c r="D13" s="91">
        <f>SUM(D5:D12)</f>
        <v>7530510.5300000003</v>
      </c>
      <c r="E13" s="91">
        <f>SUM(E5:E12)</f>
        <v>1900000</v>
      </c>
      <c r="F13" s="92">
        <f>SUM(F5:F12)</f>
        <v>47790510.530000001</v>
      </c>
      <c r="G13" s="90"/>
    </row>
  </sheetData>
  <mergeCells count="1">
    <mergeCell ref="A3:D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4" workbookViewId="0">
      <selection activeCell="C32" sqref="C32"/>
    </sheetView>
  </sheetViews>
  <sheetFormatPr defaultRowHeight="15" x14ac:dyDescent="0.25"/>
  <cols>
    <col min="1" max="1" width="12.42578125" customWidth="1"/>
    <col min="2" max="2" width="13.28515625" bestFit="1" customWidth="1"/>
    <col min="4" max="4" width="14.85546875" bestFit="1" customWidth="1"/>
    <col min="5" max="5" width="13.28515625" bestFit="1" customWidth="1"/>
    <col min="6" max="6" width="14.28515625" bestFit="1" customWidth="1"/>
    <col min="7" max="7" width="11.5703125" bestFit="1" customWidth="1"/>
    <col min="8" max="8" width="14.28515625" style="107" bestFit="1" customWidth="1"/>
    <col min="9" max="10" width="13.28515625" style="107" bestFit="1" customWidth="1"/>
    <col min="12" max="12" width="13.28515625" style="107" bestFit="1" customWidth="1"/>
    <col min="15" max="15" width="11.5703125" style="107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x14ac:dyDescent="0.25">
      <c r="A2" s="41"/>
      <c r="B2" s="41"/>
      <c r="C2" s="41"/>
      <c r="D2" s="41"/>
      <c r="E2" s="41"/>
      <c r="F2" s="41"/>
      <c r="G2" s="41"/>
    </row>
    <row r="3" spans="1:7" ht="18.75" x14ac:dyDescent="0.3">
      <c r="A3" s="139" t="s">
        <v>214</v>
      </c>
      <c r="B3" s="139"/>
      <c r="C3" s="139"/>
      <c r="D3" s="139"/>
      <c r="E3" s="139"/>
      <c r="F3" s="41"/>
      <c r="G3" s="42"/>
    </row>
    <row r="4" spans="1:7" x14ac:dyDescent="0.25">
      <c r="A4" s="93" t="s">
        <v>183</v>
      </c>
      <c r="B4" s="94"/>
      <c r="C4" s="95"/>
      <c r="D4" s="94"/>
      <c r="E4" s="95"/>
      <c r="F4" s="95"/>
    </row>
    <row r="5" spans="1:7" x14ac:dyDescent="0.25">
      <c r="A5" s="93" t="s">
        <v>184</v>
      </c>
      <c r="B5" s="94"/>
      <c r="C5" s="95"/>
      <c r="D5" s="94"/>
      <c r="E5" s="95"/>
      <c r="F5" s="95"/>
    </row>
    <row r="6" spans="1:7" ht="36" x14ac:dyDescent="0.25">
      <c r="A6" s="96" t="s">
        <v>185</v>
      </c>
      <c r="B6" s="97" t="s">
        <v>186</v>
      </c>
      <c r="C6" s="96" t="s">
        <v>187</v>
      </c>
      <c r="D6" s="97" t="s">
        <v>188</v>
      </c>
      <c r="E6" s="96" t="s">
        <v>189</v>
      </c>
      <c r="F6" s="96" t="s">
        <v>190</v>
      </c>
    </row>
    <row r="7" spans="1:7" x14ac:dyDescent="0.25">
      <c r="A7" s="98">
        <v>2023</v>
      </c>
      <c r="B7" s="99" t="s">
        <v>191</v>
      </c>
      <c r="C7" s="100">
        <f>364+9</f>
        <v>373</v>
      </c>
      <c r="D7" s="121">
        <v>283</v>
      </c>
      <c r="E7" s="101">
        <v>3580000</v>
      </c>
      <c r="F7" s="101">
        <f>44726.42+198720+944816.08+659508.75-183802+195000+141030.75</f>
        <v>2000000</v>
      </c>
    </row>
    <row r="8" spans="1:7" x14ac:dyDescent="0.25">
      <c r="A8" s="98">
        <v>2024</v>
      </c>
      <c r="B8" s="99" t="s">
        <v>192</v>
      </c>
      <c r="C8" s="100">
        <v>419</v>
      </c>
      <c r="D8" s="121">
        <v>228</v>
      </c>
      <c r="E8" s="101">
        <f>2800000+220563</f>
        <v>3020563</v>
      </c>
      <c r="F8" s="101">
        <v>2400000</v>
      </c>
    </row>
    <row r="9" spans="1:7" x14ac:dyDescent="0.25">
      <c r="A9" s="98">
        <v>2025</v>
      </c>
      <c r="B9" s="99" t="s">
        <v>192</v>
      </c>
      <c r="C9" s="100">
        <v>420</v>
      </c>
      <c r="D9" s="121" t="s">
        <v>217</v>
      </c>
      <c r="E9" s="101">
        <v>3390627</v>
      </c>
      <c r="F9" s="101">
        <v>2376636</v>
      </c>
    </row>
    <row r="10" spans="1:7" x14ac:dyDescent="0.25">
      <c r="A10" s="98" t="s">
        <v>216</v>
      </c>
      <c r="B10" s="102">
        <v>671</v>
      </c>
      <c r="C10" s="102">
        <v>438</v>
      </c>
      <c r="D10" s="122">
        <v>233</v>
      </c>
      <c r="E10" s="103">
        <f>3105269.16+111050.84+535000</f>
        <v>3751320</v>
      </c>
      <c r="F10" s="103">
        <f>2163680+100000+313578+204665</f>
        <v>2781923</v>
      </c>
    </row>
    <row r="11" spans="1:7" x14ac:dyDescent="0.25">
      <c r="A11" s="104"/>
      <c r="B11" s="105"/>
      <c r="C11" s="106"/>
      <c r="D11" s="105"/>
      <c r="E11" s="105"/>
      <c r="F11" s="105"/>
    </row>
    <row r="12" spans="1:7" x14ac:dyDescent="0.25">
      <c r="A12" s="104"/>
      <c r="B12" s="105"/>
      <c r="C12" s="106"/>
      <c r="D12" s="105"/>
      <c r="E12" s="105"/>
      <c r="F12" s="105"/>
    </row>
    <row r="13" spans="1:7" x14ac:dyDescent="0.25">
      <c r="A13" s="108"/>
      <c r="B13" s="94"/>
      <c r="C13" s="95"/>
      <c r="D13" s="94"/>
      <c r="E13" s="95"/>
      <c r="F13" s="95"/>
    </row>
    <row r="14" spans="1:7" x14ac:dyDescent="0.25">
      <c r="A14" s="93" t="s">
        <v>215</v>
      </c>
      <c r="B14" s="110"/>
      <c r="C14" s="111"/>
      <c r="D14" s="110"/>
      <c r="E14" s="111"/>
      <c r="F14" s="95"/>
    </row>
    <row r="15" spans="1:7" x14ac:dyDescent="0.25">
      <c r="A15" s="112"/>
      <c r="B15" s="94"/>
      <c r="C15" s="95"/>
      <c r="D15" s="94"/>
      <c r="E15" s="95"/>
      <c r="F15" s="113"/>
    </row>
    <row r="16" spans="1:7" x14ac:dyDescent="0.25">
      <c r="A16" s="93" t="s">
        <v>184</v>
      </c>
      <c r="B16" s="94"/>
      <c r="C16" s="95"/>
      <c r="D16" s="94"/>
      <c r="E16" s="95"/>
      <c r="F16" s="95"/>
    </row>
    <row r="17" spans="1:9" x14ac:dyDescent="0.25">
      <c r="A17" s="112"/>
      <c r="B17" s="94"/>
      <c r="C17" s="95"/>
      <c r="D17" s="94"/>
      <c r="E17" s="95"/>
      <c r="F17" s="95"/>
    </row>
    <row r="18" spans="1:9" ht="36" x14ac:dyDescent="0.25">
      <c r="A18" s="114" t="s">
        <v>194</v>
      </c>
      <c r="B18" s="97" t="s">
        <v>195</v>
      </c>
      <c r="C18" s="96" t="s">
        <v>196</v>
      </c>
      <c r="D18" s="115" t="s">
        <v>197</v>
      </c>
      <c r="E18" s="96" t="s">
        <v>198</v>
      </c>
      <c r="F18" s="96" t="s">
        <v>199</v>
      </c>
    </row>
    <row r="19" spans="1:9" x14ac:dyDescent="0.25">
      <c r="A19" s="114" t="s">
        <v>200</v>
      </c>
      <c r="B19" s="126">
        <f t="shared" ref="B19:B21" si="0">SUM(C19+E19)</f>
        <v>48</v>
      </c>
      <c r="C19" s="116">
        <v>25</v>
      </c>
      <c r="D19" s="117">
        <v>156400</v>
      </c>
      <c r="E19" s="118">
        <f>19+2+12-10</f>
        <v>23</v>
      </c>
      <c r="F19" s="117">
        <v>325000</v>
      </c>
    </row>
    <row r="20" spans="1:9" x14ac:dyDescent="0.25">
      <c r="A20" s="114" t="s">
        <v>201</v>
      </c>
      <c r="B20" s="126">
        <f t="shared" si="0"/>
        <v>494</v>
      </c>
      <c r="C20" s="116">
        <f>181+8-12</f>
        <v>177</v>
      </c>
      <c r="D20" s="117">
        <f>860000+57523+17500+157500</f>
        <v>1092523</v>
      </c>
      <c r="E20" s="118">
        <f>321+8-12</f>
        <v>317</v>
      </c>
      <c r="F20" s="117">
        <v>1250080</v>
      </c>
    </row>
    <row r="21" spans="1:9" x14ac:dyDescent="0.25">
      <c r="A21" s="114" t="s">
        <v>202</v>
      </c>
      <c r="B21" s="126">
        <f t="shared" si="0"/>
        <v>145</v>
      </c>
      <c r="C21" s="116">
        <f>29+24</f>
        <v>53</v>
      </c>
      <c r="D21" s="117">
        <f>1253000+280000</f>
        <v>1533000</v>
      </c>
      <c r="E21" s="118">
        <v>92</v>
      </c>
      <c r="F21" s="117">
        <f>846129+1300446</f>
        <v>2146575</v>
      </c>
    </row>
    <row r="22" spans="1:9" x14ac:dyDescent="0.25">
      <c r="A22" s="114" t="s">
        <v>193</v>
      </c>
      <c r="B22" s="126">
        <f>SUM(C22+E22)</f>
        <v>687</v>
      </c>
      <c r="C22" s="118">
        <f>C19+C20+C21</f>
        <v>255</v>
      </c>
      <c r="D22" s="117">
        <f>SUM(D19:D21)</f>
        <v>2781923</v>
      </c>
      <c r="E22" s="118">
        <f>E19+E20+E21</f>
        <v>432</v>
      </c>
      <c r="F22" s="117">
        <f>SUM(F19:F21)+29665</f>
        <v>3751320</v>
      </c>
      <c r="H22" s="107">
        <f>C22+E22</f>
        <v>687</v>
      </c>
    </row>
    <row r="23" spans="1:9" x14ac:dyDescent="0.25">
      <c r="A23" s="112"/>
      <c r="B23" s="94"/>
      <c r="C23" s="95"/>
      <c r="D23" s="94"/>
      <c r="E23" s="95"/>
      <c r="F23" s="94"/>
    </row>
    <row r="24" spans="1:9" x14ac:dyDescent="0.25">
      <c r="A24" s="93" t="s">
        <v>203</v>
      </c>
      <c r="B24" s="110"/>
      <c r="C24" s="111"/>
      <c r="D24" s="110"/>
      <c r="E24" s="111"/>
      <c r="F24" s="110"/>
      <c r="G24" s="94"/>
    </row>
    <row r="25" spans="1:9" x14ac:dyDescent="0.25">
      <c r="A25" s="93" t="s">
        <v>204</v>
      </c>
      <c r="B25" s="110"/>
      <c r="C25" s="111"/>
      <c r="D25" s="110"/>
      <c r="E25" s="111"/>
      <c r="F25" s="111"/>
      <c r="G25" s="94"/>
    </row>
    <row r="26" spans="1:9" x14ac:dyDescent="0.25">
      <c r="A26" s="93" t="s">
        <v>184</v>
      </c>
      <c r="B26" s="110"/>
      <c r="C26" s="111"/>
      <c r="D26" s="110"/>
      <c r="E26" s="111"/>
      <c r="F26" s="111"/>
      <c r="G26" s="94"/>
    </row>
    <row r="27" spans="1:9" x14ac:dyDescent="0.25">
      <c r="A27" s="93"/>
      <c r="B27" s="110"/>
      <c r="C27" s="111"/>
      <c r="D27" s="110"/>
      <c r="E27" s="111"/>
      <c r="F27" s="111"/>
      <c r="G27" s="94"/>
    </row>
    <row r="28" spans="1:9" ht="48" x14ac:dyDescent="0.25">
      <c r="A28" s="96" t="s">
        <v>185</v>
      </c>
      <c r="B28" s="97" t="s">
        <v>205</v>
      </c>
      <c r="C28" s="96" t="s">
        <v>206</v>
      </c>
      <c r="D28" s="97" t="s">
        <v>207</v>
      </c>
      <c r="E28" s="96" t="s">
        <v>208</v>
      </c>
      <c r="F28" s="96" t="s">
        <v>209</v>
      </c>
      <c r="G28" s="97" t="s">
        <v>210</v>
      </c>
    </row>
    <row r="29" spans="1:9" x14ac:dyDescent="0.25">
      <c r="A29" s="98">
        <v>2023</v>
      </c>
      <c r="B29" s="119">
        <v>850000</v>
      </c>
      <c r="C29" s="102">
        <f t="shared" ref="C29:C31" si="1">D29+E29</f>
        <v>3238</v>
      </c>
      <c r="D29" s="120" t="s">
        <v>211</v>
      </c>
      <c r="E29" s="120" t="s">
        <v>212</v>
      </c>
      <c r="F29" s="119">
        <v>380000</v>
      </c>
      <c r="G29" s="101">
        <v>470000</v>
      </c>
      <c r="I29" s="109"/>
    </row>
    <row r="30" spans="1:9" x14ac:dyDescent="0.25">
      <c r="A30" s="98">
        <v>2024</v>
      </c>
      <c r="B30" s="119">
        <v>1000000</v>
      </c>
      <c r="C30" s="102">
        <f t="shared" si="1"/>
        <v>3100</v>
      </c>
      <c r="D30" s="120">
        <v>1300</v>
      </c>
      <c r="E30" s="120" t="s">
        <v>213</v>
      </c>
      <c r="F30" s="119">
        <v>420000</v>
      </c>
      <c r="G30" s="101">
        <f>433800-30000+27200+31000+118000</f>
        <v>580000</v>
      </c>
    </row>
    <row r="31" spans="1:9" x14ac:dyDescent="0.25">
      <c r="A31" s="98">
        <v>2025</v>
      </c>
      <c r="B31" s="103">
        <v>1100000</v>
      </c>
      <c r="C31" s="102">
        <f t="shared" si="1"/>
        <v>3200</v>
      </c>
      <c r="D31" s="102">
        <v>1320</v>
      </c>
      <c r="E31" s="102">
        <v>1880</v>
      </c>
      <c r="F31" s="103">
        <v>432000</v>
      </c>
      <c r="G31" s="103">
        <f>B31-F31</f>
        <v>668000</v>
      </c>
    </row>
    <row r="32" spans="1:9" x14ac:dyDescent="0.25">
      <c r="A32" s="98" t="s">
        <v>216</v>
      </c>
      <c r="B32" s="103">
        <v>1100000</v>
      </c>
      <c r="C32" s="102">
        <f>D32+E32</f>
        <v>3450</v>
      </c>
      <c r="D32" s="102">
        <v>1350</v>
      </c>
      <c r="E32" s="102">
        <v>2100</v>
      </c>
      <c r="F32" s="103">
        <v>432000</v>
      </c>
      <c r="G32" s="103">
        <f>B32-F32</f>
        <v>668000</v>
      </c>
    </row>
  </sheetData>
  <mergeCells count="1"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6"/>
  <sheetViews>
    <sheetView workbookViewId="0">
      <selection sqref="A1:C15"/>
    </sheetView>
  </sheetViews>
  <sheetFormatPr defaultRowHeight="15" x14ac:dyDescent="0.25"/>
  <cols>
    <col min="1" max="1" width="37.140625" customWidth="1"/>
    <col min="2" max="2" width="36.42578125" customWidth="1"/>
    <col min="3" max="3" width="44.7109375" customWidth="1"/>
  </cols>
  <sheetData>
    <row r="4" spans="1:3" ht="18.75" x14ac:dyDescent="0.25">
      <c r="A4" s="123" t="s">
        <v>218</v>
      </c>
      <c r="B4" s="123" t="s">
        <v>219</v>
      </c>
      <c r="C4" s="123" t="s">
        <v>220</v>
      </c>
    </row>
    <row r="5" spans="1:3" ht="56.25" x14ac:dyDescent="0.25">
      <c r="A5" s="124" t="s">
        <v>221</v>
      </c>
      <c r="B5" s="124" t="s">
        <v>222</v>
      </c>
      <c r="C5" s="124" t="s">
        <v>223</v>
      </c>
    </row>
    <row r="6" spans="1:3" ht="18.75" x14ac:dyDescent="0.25">
      <c r="A6" s="143" t="s">
        <v>224</v>
      </c>
      <c r="B6" s="143"/>
      <c r="C6" s="143"/>
    </row>
    <row r="7" spans="1:3" ht="18.75" x14ac:dyDescent="0.25">
      <c r="A7" s="143" t="s">
        <v>225</v>
      </c>
      <c r="B7" s="143"/>
      <c r="C7" s="143"/>
    </row>
    <row r="8" spans="1:3" ht="18.75" x14ac:dyDescent="0.25">
      <c r="A8" s="143" t="s">
        <v>226</v>
      </c>
      <c r="B8" s="143"/>
      <c r="C8" s="143"/>
    </row>
    <row r="9" spans="1:3" ht="18.75" x14ac:dyDescent="0.25">
      <c r="A9" s="143" t="s">
        <v>227</v>
      </c>
      <c r="B9" s="143"/>
      <c r="C9" s="143"/>
    </row>
    <row r="10" spans="1:3" ht="18.75" x14ac:dyDescent="0.25">
      <c r="A10" s="125" t="s">
        <v>218</v>
      </c>
      <c r="B10" s="125" t="s">
        <v>219</v>
      </c>
      <c r="C10" s="125" t="s">
        <v>220</v>
      </c>
    </row>
    <row r="11" spans="1:3" ht="56.25" x14ac:dyDescent="0.25">
      <c r="A11" s="124" t="s">
        <v>228</v>
      </c>
      <c r="B11" s="124" t="s">
        <v>229</v>
      </c>
      <c r="C11" s="124" t="s">
        <v>230</v>
      </c>
    </row>
    <row r="12" spans="1:3" ht="18.75" x14ac:dyDescent="0.25">
      <c r="A12" s="144" t="s">
        <v>224</v>
      </c>
      <c r="B12" s="144"/>
      <c r="C12" s="144"/>
    </row>
    <row r="13" spans="1:3" ht="18.75" x14ac:dyDescent="0.25">
      <c r="A13" s="140" t="s">
        <v>231</v>
      </c>
      <c r="B13" s="141"/>
      <c r="C13" s="142"/>
    </row>
    <row r="14" spans="1:3" ht="18.75" x14ac:dyDescent="0.25">
      <c r="A14" s="140" t="s">
        <v>232</v>
      </c>
      <c r="B14" s="141"/>
      <c r="C14" s="142"/>
    </row>
    <row r="15" spans="1:3" ht="18.75" x14ac:dyDescent="0.25">
      <c r="A15" s="140" t="s">
        <v>233</v>
      </c>
      <c r="B15" s="141"/>
      <c r="C15" s="142"/>
    </row>
    <row r="22" spans="2:8" x14ac:dyDescent="0.25">
      <c r="B22" t="s">
        <v>234</v>
      </c>
    </row>
    <row r="26" spans="2:8" x14ac:dyDescent="0.25">
      <c r="H26" t="s">
        <v>235</v>
      </c>
    </row>
  </sheetData>
  <mergeCells count="8">
    <mergeCell ref="A14:C14"/>
    <mergeCell ref="A15:C15"/>
    <mergeCell ref="A6:C6"/>
    <mergeCell ref="A7:C7"/>
    <mergeCell ref="A8:C8"/>
    <mergeCell ref="A9:C9"/>
    <mergeCell ref="A12:C12"/>
    <mergeCell ref="A13:C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Buxheti 2026-2028</vt:lpstr>
      <vt:lpstr>Mallra dhe sherbime</vt:lpstr>
      <vt:lpstr>Shp.komunale subvencione</vt:lpstr>
      <vt:lpstr>Investime kapitale</vt:lpstr>
      <vt:lpstr>Projektet me donator</vt:lpstr>
      <vt:lpstr>Buxhetimi gjinor</vt:lpstr>
      <vt:lpstr>Treguesit baze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Besnik m. Salihu</dc:creator>
  <cp:lastModifiedBy>Zarife Behluli</cp:lastModifiedBy>
  <cp:lastPrinted>2025-09-16T08:15:59Z</cp:lastPrinted>
  <dcterms:created xsi:type="dcterms:W3CDTF">2015-06-05T18:17:20Z</dcterms:created>
  <dcterms:modified xsi:type="dcterms:W3CDTF">2025-09-16T08:20:09Z</dcterms:modified>
</cp:coreProperties>
</file>