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Buxheti" sheetId="2" r:id="rId1"/>
    <sheet name="Mallra dhe sherbime" sheetId="1" r:id="rId2"/>
    <sheet name="Shp.komunale" sheetId="4" r:id="rId3"/>
    <sheet name="Subvencionet" sheetId="5" r:id="rId4"/>
    <sheet name="Kapitale" sheetId="3" r:id="rId5"/>
    <sheet name="Investimet 2022 Faqe zyrtare" sheetId="6" r:id="rId6"/>
  </sheets>
  <calcPr calcId="152511"/>
</workbook>
</file>

<file path=xl/calcChain.xml><?xml version="1.0" encoding="utf-8"?>
<calcChain xmlns="http://schemas.openxmlformats.org/spreadsheetml/2006/main">
  <c r="P53" i="1" l="1"/>
  <c r="P54" i="1"/>
  <c r="B55" i="1"/>
  <c r="B56" i="1" s="1"/>
  <c r="C55" i="1"/>
  <c r="P55" i="1" s="1"/>
  <c r="D55" i="1"/>
  <c r="D56" i="1" s="1"/>
  <c r="E56" i="1"/>
  <c r="F56" i="1"/>
  <c r="H56" i="1"/>
  <c r="I56" i="1"/>
  <c r="J56" i="1"/>
  <c r="K56" i="1"/>
  <c r="L56" i="1"/>
  <c r="M56" i="1"/>
  <c r="N56" i="1"/>
  <c r="O56" i="1"/>
  <c r="K62" i="1"/>
  <c r="P62" i="1"/>
  <c r="P63" i="1"/>
  <c r="P64" i="1"/>
  <c r="P65" i="1"/>
  <c r="P66" i="1"/>
  <c r="P67" i="1"/>
  <c r="P68" i="1"/>
  <c r="P69" i="1"/>
  <c r="D70" i="1"/>
  <c r="P70" i="1" s="1"/>
  <c r="B71" i="1"/>
  <c r="P71" i="1"/>
  <c r="P72" i="1"/>
  <c r="P73" i="1"/>
  <c r="D74" i="1"/>
  <c r="P74" i="1" s="1"/>
  <c r="P75" i="1"/>
  <c r="P76" i="1"/>
  <c r="P77" i="1"/>
  <c r="P78" i="1"/>
  <c r="P79" i="1"/>
  <c r="P80" i="1"/>
  <c r="B81" i="1"/>
  <c r="P81" i="1" s="1"/>
  <c r="B82" i="1"/>
  <c r="P82" i="1" s="1"/>
  <c r="B83" i="1"/>
  <c r="L83" i="1"/>
  <c r="L110" i="1" s="1"/>
  <c r="P83" i="1"/>
  <c r="D84" i="1"/>
  <c r="E84" i="1"/>
  <c r="P84" i="1" s="1"/>
  <c r="P85" i="1"/>
  <c r="P86" i="1"/>
  <c r="P87" i="1"/>
  <c r="B88" i="1"/>
  <c r="P88" i="1"/>
  <c r="P89" i="1"/>
  <c r="B90" i="1"/>
  <c r="H90" i="1"/>
  <c r="P90" i="1"/>
  <c r="P91" i="1"/>
  <c r="K92" i="1"/>
  <c r="P92" i="1"/>
  <c r="K93" i="1"/>
  <c r="P93" i="1"/>
  <c r="C94" i="1"/>
  <c r="P94" i="1" s="1"/>
  <c r="D95" i="1"/>
  <c r="P95" i="1" s="1"/>
  <c r="P96" i="1"/>
  <c r="P97" i="1"/>
  <c r="L98" i="1"/>
  <c r="P98" i="1"/>
  <c r="L99" i="1"/>
  <c r="P99" i="1" s="1"/>
  <c r="L100" i="1"/>
  <c r="P100" i="1" s="1"/>
  <c r="P101" i="1"/>
  <c r="O102" i="1"/>
  <c r="P102" i="1"/>
  <c r="B103" i="1"/>
  <c r="P103" i="1" s="1"/>
  <c r="K103" i="1"/>
  <c r="P104" i="1"/>
  <c r="B105" i="1"/>
  <c r="P105" i="1"/>
  <c r="M106" i="1"/>
  <c r="M110" i="1" s="1"/>
  <c r="P107" i="1"/>
  <c r="P108" i="1"/>
  <c r="P109" i="1"/>
  <c r="B110" i="1"/>
  <c r="B114" i="1" s="1"/>
  <c r="C110" i="1"/>
  <c r="C114" i="1" s="1"/>
  <c r="C115" i="1" s="1"/>
  <c r="F110" i="1"/>
  <c r="G110" i="1"/>
  <c r="H110" i="1"/>
  <c r="I110" i="1"/>
  <c r="J110" i="1"/>
  <c r="K110" i="1"/>
  <c r="N110" i="1"/>
  <c r="O110" i="1"/>
  <c r="K112" i="1"/>
  <c r="L112" i="1"/>
  <c r="P112" i="1"/>
  <c r="P113" i="1"/>
  <c r="E115" i="1"/>
  <c r="F115" i="1"/>
  <c r="H115" i="1"/>
  <c r="I115" i="1"/>
  <c r="J115" i="1"/>
  <c r="K115" i="1"/>
  <c r="L115" i="1"/>
  <c r="M115" i="1"/>
  <c r="N115" i="1"/>
  <c r="O115" i="1"/>
  <c r="K120" i="1"/>
  <c r="P120" i="1"/>
  <c r="P121" i="1"/>
  <c r="P122" i="1"/>
  <c r="P123" i="1"/>
  <c r="P124" i="1"/>
  <c r="P125" i="1"/>
  <c r="P126" i="1"/>
  <c r="P127" i="1"/>
  <c r="D128" i="1"/>
  <c r="P128" i="1"/>
  <c r="B129" i="1"/>
  <c r="B168" i="1" s="1"/>
  <c r="B172" i="1" s="1"/>
  <c r="P129" i="1"/>
  <c r="P130" i="1"/>
  <c r="P131" i="1"/>
  <c r="D132" i="1"/>
  <c r="P132" i="1"/>
  <c r="P133" i="1"/>
  <c r="P134" i="1"/>
  <c r="P135" i="1"/>
  <c r="P136" i="1"/>
  <c r="P137" i="1"/>
  <c r="P138" i="1"/>
  <c r="B139" i="1"/>
  <c r="P139" i="1"/>
  <c r="B140" i="1"/>
  <c r="P140" i="1"/>
  <c r="B141" i="1"/>
  <c r="P141" i="1" s="1"/>
  <c r="L141" i="1"/>
  <c r="L168" i="1" s="1"/>
  <c r="D142" i="1"/>
  <c r="E142" i="1"/>
  <c r="P142" i="1"/>
  <c r="P143" i="1"/>
  <c r="P144" i="1"/>
  <c r="P145" i="1"/>
  <c r="B146" i="1"/>
  <c r="P146" i="1" s="1"/>
  <c r="P147" i="1"/>
  <c r="B148" i="1"/>
  <c r="H148" i="1"/>
  <c r="H168" i="1" s="1"/>
  <c r="P148" i="1"/>
  <c r="P149" i="1"/>
  <c r="K150" i="1"/>
  <c r="K168" i="1" s="1"/>
  <c r="P150" i="1"/>
  <c r="K151" i="1"/>
  <c r="P151" i="1"/>
  <c r="C152" i="1"/>
  <c r="P152" i="1"/>
  <c r="D153" i="1"/>
  <c r="P153" i="1"/>
  <c r="P154" i="1"/>
  <c r="P155" i="1"/>
  <c r="L156" i="1"/>
  <c r="P156" i="1"/>
  <c r="L157" i="1"/>
  <c r="P157" i="1"/>
  <c r="L158" i="1"/>
  <c r="P158" i="1"/>
  <c r="P159" i="1"/>
  <c r="O160" i="1"/>
  <c r="P160" i="1" s="1"/>
  <c r="B161" i="1"/>
  <c r="K161" i="1"/>
  <c r="P161" i="1"/>
  <c r="P162" i="1"/>
  <c r="B163" i="1"/>
  <c r="P163" i="1"/>
  <c r="M164" i="1"/>
  <c r="M168" i="1" s="1"/>
  <c r="P165" i="1"/>
  <c r="P166" i="1"/>
  <c r="P167" i="1"/>
  <c r="C168" i="1"/>
  <c r="D168" i="1"/>
  <c r="D172" i="1" s="1"/>
  <c r="D173" i="1" s="1"/>
  <c r="E168" i="1"/>
  <c r="F168" i="1"/>
  <c r="G168" i="1"/>
  <c r="I168" i="1"/>
  <c r="J168" i="1"/>
  <c r="N168" i="1"/>
  <c r="K170" i="1"/>
  <c r="L170" i="1"/>
  <c r="P170" i="1"/>
  <c r="P171" i="1"/>
  <c r="C172" i="1"/>
  <c r="C173" i="1" s="1"/>
  <c r="E173" i="1"/>
  <c r="F173" i="1"/>
  <c r="H173" i="1"/>
  <c r="I173" i="1"/>
  <c r="J173" i="1"/>
  <c r="K173" i="1"/>
  <c r="L173" i="1"/>
  <c r="M173" i="1"/>
  <c r="N173" i="1"/>
  <c r="O173" i="1"/>
  <c r="E18" i="5"/>
  <c r="D19" i="5"/>
  <c r="E19" i="5" s="1"/>
  <c r="E20" i="5"/>
  <c r="D21" i="5"/>
  <c r="E21" i="5"/>
  <c r="E22" i="5"/>
  <c r="C23" i="5"/>
  <c r="D23" i="5"/>
  <c r="E23" i="5"/>
  <c r="D24" i="5"/>
  <c r="E24" i="5"/>
  <c r="B25" i="5"/>
  <c r="E25" i="5" s="1"/>
  <c r="C25" i="5"/>
  <c r="D25" i="5"/>
  <c r="E32" i="5"/>
  <c r="E33" i="5"/>
  <c r="E34" i="5"/>
  <c r="D35" i="5"/>
  <c r="E35" i="5"/>
  <c r="E36" i="5"/>
  <c r="C37" i="5"/>
  <c r="C39" i="5" s="1"/>
  <c r="D37" i="5"/>
  <c r="D38" i="5"/>
  <c r="E38" i="5" s="1"/>
  <c r="B39" i="5"/>
  <c r="E15" i="4"/>
  <c r="E16" i="4"/>
  <c r="E17" i="4"/>
  <c r="B18" i="4"/>
  <c r="D18" i="4"/>
  <c r="E18" i="4"/>
  <c r="B19" i="4"/>
  <c r="E19" i="4" s="1"/>
  <c r="C19" i="4"/>
  <c r="D19" i="4"/>
  <c r="E20" i="4"/>
  <c r="C21" i="4"/>
  <c r="D21" i="4"/>
  <c r="E26" i="4"/>
  <c r="E27" i="4"/>
  <c r="E28" i="4"/>
  <c r="B29" i="4"/>
  <c r="E29" i="4" s="1"/>
  <c r="D29" i="4"/>
  <c r="C30" i="4"/>
  <c r="E30" i="4" s="1"/>
  <c r="D30" i="4"/>
  <c r="D32" i="4" s="1"/>
  <c r="E31" i="4"/>
  <c r="N5" i="3"/>
  <c r="O5" i="3"/>
  <c r="N9" i="3"/>
  <c r="N14" i="3"/>
  <c r="O14" i="3"/>
  <c r="N19" i="3"/>
  <c r="N21" i="3" s="1"/>
  <c r="N48" i="3" s="1"/>
  <c r="O19" i="3"/>
  <c r="O21" i="3"/>
  <c r="N24" i="3"/>
  <c r="O24" i="3"/>
  <c r="N29" i="3"/>
  <c r="O29" i="3"/>
  <c r="N39" i="3"/>
  <c r="O39" i="3"/>
  <c r="N43" i="3"/>
  <c r="O43" i="3"/>
  <c r="N47" i="3"/>
  <c r="O47" i="3"/>
  <c r="O48" i="3"/>
  <c r="O70" i="3"/>
  <c r="O71" i="3"/>
  <c r="O72" i="3"/>
  <c r="O73" i="3"/>
  <c r="N75" i="3"/>
  <c r="O82" i="3"/>
  <c r="O83" i="3"/>
  <c r="O84" i="3"/>
  <c r="O85" i="3"/>
  <c r="N86" i="3"/>
  <c r="N87" i="3"/>
  <c r="O94" i="3"/>
  <c r="N98" i="3"/>
  <c r="N99" i="3"/>
  <c r="N100" i="3"/>
  <c r="C41" i="6"/>
  <c r="C42" i="6"/>
  <c r="D41" i="6"/>
  <c r="D42" i="6" s="1"/>
  <c r="E40" i="6"/>
  <c r="D33" i="6"/>
  <c r="D23" i="6"/>
  <c r="C5" i="6"/>
  <c r="E39" i="6"/>
  <c r="C37" i="6"/>
  <c r="E36" i="6"/>
  <c r="E35" i="6"/>
  <c r="C33" i="6"/>
  <c r="E33" i="6" s="1"/>
  <c r="E32" i="6"/>
  <c r="E31" i="6"/>
  <c r="E30" i="6"/>
  <c r="C28" i="6"/>
  <c r="E27" i="6"/>
  <c r="E26" i="6"/>
  <c r="E25" i="6"/>
  <c r="C23" i="6"/>
  <c r="E23" i="6" s="1"/>
  <c r="E22" i="6"/>
  <c r="C20" i="6"/>
  <c r="E20" i="6" s="1"/>
  <c r="E19" i="6"/>
  <c r="E18" i="6"/>
  <c r="E17" i="6"/>
  <c r="E16" i="6"/>
  <c r="C14" i="6"/>
  <c r="E13" i="6"/>
  <c r="E12" i="6"/>
  <c r="E11" i="6"/>
  <c r="E10" i="6"/>
  <c r="E9" i="6"/>
  <c r="E8" i="6"/>
  <c r="E7" i="6"/>
  <c r="D5" i="6"/>
  <c r="E4" i="6"/>
  <c r="E3" i="6"/>
  <c r="P172" i="1" l="1"/>
  <c r="B173" i="1"/>
  <c r="P173" i="1" s="1"/>
  <c r="P110" i="1"/>
  <c r="P168" i="1"/>
  <c r="B115" i="1"/>
  <c r="E110" i="1"/>
  <c r="C56" i="1"/>
  <c r="P56" i="1" s="1"/>
  <c r="O168" i="1"/>
  <c r="D110" i="1"/>
  <c r="D114" i="1" s="1"/>
  <c r="D115" i="1" s="1"/>
  <c r="E37" i="5"/>
  <c r="D39" i="5"/>
  <c r="E39" i="5" s="1"/>
  <c r="C32" i="4"/>
  <c r="B32" i="4"/>
  <c r="E32" i="4" s="1"/>
  <c r="B21" i="4"/>
  <c r="E21" i="4" s="1"/>
  <c r="E37" i="6"/>
  <c r="E14" i="6"/>
  <c r="E28" i="6"/>
  <c r="E41" i="6"/>
  <c r="E5" i="6"/>
  <c r="B12" i="5"/>
  <c r="D11" i="5"/>
  <c r="E11" i="5" s="1"/>
  <c r="D10" i="5"/>
  <c r="C10" i="5"/>
  <c r="E10" i="5" s="1"/>
  <c r="E9" i="5"/>
  <c r="D8" i="5"/>
  <c r="E7" i="5"/>
  <c r="E6" i="5"/>
  <c r="E5" i="5"/>
  <c r="E9" i="4"/>
  <c r="D8" i="4"/>
  <c r="C8" i="4"/>
  <c r="C10" i="4" s="1"/>
  <c r="B8" i="4"/>
  <c r="E8" i="4" s="1"/>
  <c r="D7" i="4"/>
  <c r="D10" i="4" s="1"/>
  <c r="B7" i="4"/>
  <c r="E7" i="4" s="1"/>
  <c r="E6" i="4"/>
  <c r="E5" i="4"/>
  <c r="E4" i="4"/>
  <c r="E22" i="2"/>
  <c r="D22" i="2"/>
  <c r="C22" i="2"/>
  <c r="D11" i="2"/>
  <c r="D9" i="2"/>
  <c r="C9" i="2"/>
  <c r="C11" i="2" s="1"/>
  <c r="E7" i="2"/>
  <c r="E9" i="2" s="1"/>
  <c r="E11" i="2" s="1"/>
  <c r="D7" i="2"/>
  <c r="C7" i="2"/>
  <c r="P115" i="1" l="1"/>
  <c r="P114" i="1"/>
  <c r="C12" i="5"/>
  <c r="E12" i="5" s="1"/>
  <c r="D12" i="5"/>
  <c r="E42" i="6"/>
  <c r="E8" i="5"/>
  <c r="B10" i="4"/>
  <c r="E10" i="4" s="1"/>
  <c r="M99" i="3" l="1"/>
  <c r="L99" i="3"/>
  <c r="O99" i="3" s="1"/>
  <c r="L98" i="3"/>
  <c r="O98" i="3" s="1"/>
  <c r="L97" i="3"/>
  <c r="O97" i="3" s="1"/>
  <c r="M96" i="3"/>
  <c r="L96" i="3"/>
  <c r="L95" i="3"/>
  <c r="O95" i="3" s="1"/>
  <c r="M86" i="3"/>
  <c r="M87" i="3" s="1"/>
  <c r="M88" i="3" s="1"/>
  <c r="L86" i="3"/>
  <c r="L75" i="3"/>
  <c r="M74" i="3"/>
  <c r="L47" i="3"/>
  <c r="K47" i="3"/>
  <c r="J47" i="3"/>
  <c r="H47" i="3"/>
  <c r="G47" i="3"/>
  <c r="F47" i="3"/>
  <c r="D47" i="3"/>
  <c r="D48" i="3" s="1"/>
  <c r="C47" i="3"/>
  <c r="B47" i="3"/>
  <c r="M46" i="3"/>
  <c r="M45" i="3"/>
  <c r="I45" i="3"/>
  <c r="I47" i="3" s="1"/>
  <c r="E45" i="3"/>
  <c r="E47" i="3" s="1"/>
  <c r="L43" i="3"/>
  <c r="K43" i="3"/>
  <c r="J43" i="3"/>
  <c r="H43" i="3"/>
  <c r="F43" i="3"/>
  <c r="E43" i="3"/>
  <c r="C43" i="3"/>
  <c r="B43" i="3"/>
  <c r="M42" i="3"/>
  <c r="G42" i="3"/>
  <c r="I42" i="3" s="1"/>
  <c r="M41" i="3"/>
  <c r="G41" i="3"/>
  <c r="I41" i="3" s="1"/>
  <c r="L39" i="3"/>
  <c r="K39" i="3"/>
  <c r="J39" i="3"/>
  <c r="F39" i="3"/>
  <c r="C39" i="3"/>
  <c r="B39" i="3"/>
  <c r="M37" i="3"/>
  <c r="M36" i="3"/>
  <c r="M35" i="3"/>
  <c r="H35" i="3"/>
  <c r="I35" i="3" s="1"/>
  <c r="E35" i="3"/>
  <c r="M34" i="3"/>
  <c r="H34" i="3"/>
  <c r="G34" i="3"/>
  <c r="G39" i="3" s="1"/>
  <c r="E34" i="3"/>
  <c r="E39" i="3" s="1"/>
  <c r="L29" i="3"/>
  <c r="J29" i="3"/>
  <c r="H29" i="3"/>
  <c r="D29" i="3"/>
  <c r="C29" i="3"/>
  <c r="B29" i="3"/>
  <c r="K28" i="3"/>
  <c r="M28" i="3" s="1"/>
  <c r="I28" i="3"/>
  <c r="M27" i="3"/>
  <c r="I27" i="3"/>
  <c r="E27" i="3"/>
  <c r="K26" i="3"/>
  <c r="G26" i="3"/>
  <c r="G29" i="3" s="1"/>
  <c r="F26" i="3"/>
  <c r="F29" i="3" s="1"/>
  <c r="E26" i="3"/>
  <c r="L24" i="3"/>
  <c r="J24" i="3"/>
  <c r="H24" i="3"/>
  <c r="G24" i="3"/>
  <c r="I24" i="3" s="1"/>
  <c r="F24" i="3"/>
  <c r="D24" i="3"/>
  <c r="C24" i="3"/>
  <c r="B24" i="3"/>
  <c r="K23" i="3"/>
  <c r="K24" i="3" s="1"/>
  <c r="I23" i="3"/>
  <c r="E23" i="3"/>
  <c r="E24" i="3" s="1"/>
  <c r="L21" i="3"/>
  <c r="J21" i="3"/>
  <c r="H21" i="3"/>
  <c r="G21" i="3"/>
  <c r="M20" i="3"/>
  <c r="K19" i="3"/>
  <c r="M19" i="3" s="1"/>
  <c r="G19" i="3"/>
  <c r="F19" i="3"/>
  <c r="F21" i="3" s="1"/>
  <c r="C19" i="3"/>
  <c r="C21" i="3" s="1"/>
  <c r="B19" i="3"/>
  <c r="E19" i="3" s="1"/>
  <c r="M18" i="3"/>
  <c r="G18" i="3"/>
  <c r="I18" i="3" s="1"/>
  <c r="E18" i="3"/>
  <c r="K17" i="3"/>
  <c r="K21" i="3" s="1"/>
  <c r="G17" i="3"/>
  <c r="I17" i="3" s="1"/>
  <c r="E17" i="3"/>
  <c r="E15" i="3"/>
  <c r="J14" i="3"/>
  <c r="F14" i="3"/>
  <c r="C14" i="3"/>
  <c r="B14" i="3"/>
  <c r="K13" i="3"/>
  <c r="M13" i="3" s="1"/>
  <c r="G13" i="3"/>
  <c r="I13" i="3" s="1"/>
  <c r="K12" i="3"/>
  <c r="M12" i="3" s="1"/>
  <c r="G12" i="3"/>
  <c r="I12" i="3" s="1"/>
  <c r="E12" i="3"/>
  <c r="K11" i="3"/>
  <c r="M11" i="3" s="1"/>
  <c r="G11" i="3"/>
  <c r="I11" i="3" s="1"/>
  <c r="E11" i="3"/>
  <c r="M10" i="3"/>
  <c r="I10" i="3"/>
  <c r="E10" i="3"/>
  <c r="K9" i="3"/>
  <c r="M9" i="3" s="1"/>
  <c r="I9" i="3"/>
  <c r="K8" i="3"/>
  <c r="G8" i="3"/>
  <c r="G14" i="3" s="1"/>
  <c r="E8" i="3"/>
  <c r="M7" i="3"/>
  <c r="E7" i="3"/>
  <c r="L5" i="3"/>
  <c r="J5" i="3"/>
  <c r="H5" i="3"/>
  <c r="F5" i="3"/>
  <c r="G5" i="3" s="1"/>
  <c r="M4" i="3"/>
  <c r="K3" i="3"/>
  <c r="M3" i="3" s="1"/>
  <c r="G3" i="3"/>
  <c r="I3" i="3" s="1"/>
  <c r="I5" i="3" s="1"/>
  <c r="N51" i="1"/>
  <c r="M51" i="1"/>
  <c r="J51" i="1"/>
  <c r="I51" i="1"/>
  <c r="G51" i="1"/>
  <c r="F51" i="1"/>
  <c r="E51" i="1"/>
  <c r="C51" i="1"/>
  <c r="P50" i="1"/>
  <c r="P49" i="1"/>
  <c r="P48" i="1"/>
  <c r="M47" i="1"/>
  <c r="P46" i="1"/>
  <c r="B46" i="1"/>
  <c r="P45" i="1"/>
  <c r="P44" i="1"/>
  <c r="K44" i="1"/>
  <c r="B44" i="1"/>
  <c r="O43" i="1"/>
  <c r="O51" i="1" s="1"/>
  <c r="P42" i="1"/>
  <c r="L41" i="1"/>
  <c r="P41" i="1" s="1"/>
  <c r="P40" i="1"/>
  <c r="L40" i="1"/>
  <c r="L39" i="1"/>
  <c r="P39" i="1" s="1"/>
  <c r="P38" i="1"/>
  <c r="P37" i="1"/>
  <c r="D36" i="1"/>
  <c r="P36" i="1" s="1"/>
  <c r="P35" i="1"/>
  <c r="C35" i="1"/>
  <c r="K34" i="1"/>
  <c r="P34" i="1" s="1"/>
  <c r="K33" i="1"/>
  <c r="P33" i="1" s="1"/>
  <c r="P32" i="1"/>
  <c r="H31" i="1"/>
  <c r="P31" i="1" s="1"/>
  <c r="B31" i="1"/>
  <c r="P30" i="1"/>
  <c r="B29" i="1"/>
  <c r="P29" i="1" s="1"/>
  <c r="P28" i="1"/>
  <c r="P27" i="1"/>
  <c r="P26" i="1"/>
  <c r="E25" i="1"/>
  <c r="D25" i="1"/>
  <c r="P25" i="1" s="1"/>
  <c r="L24" i="1"/>
  <c r="L51" i="1" s="1"/>
  <c r="B24" i="1"/>
  <c r="P24" i="1" s="1"/>
  <c r="P23" i="1"/>
  <c r="B23" i="1"/>
  <c r="B22" i="1"/>
  <c r="P22" i="1" s="1"/>
  <c r="P21" i="1"/>
  <c r="P20" i="1"/>
  <c r="K19" i="1"/>
  <c r="P19" i="1" s="1"/>
  <c r="P18" i="1"/>
  <c r="P17" i="1"/>
  <c r="P16" i="1"/>
  <c r="D15" i="1"/>
  <c r="D51" i="1" s="1"/>
  <c r="P14" i="1"/>
  <c r="P13" i="1"/>
  <c r="B12" i="1"/>
  <c r="P12" i="1" s="1"/>
  <c r="D11" i="1"/>
  <c r="P11" i="1" s="1"/>
  <c r="P10" i="1"/>
  <c r="P9" i="1"/>
  <c r="P8" i="1"/>
  <c r="P7" i="1"/>
  <c r="P6" i="1"/>
  <c r="P5" i="1"/>
  <c r="P4" i="1"/>
  <c r="K3" i="1"/>
  <c r="P3" i="1" s="1"/>
  <c r="H39" i="3" l="1"/>
  <c r="I39" i="3" s="1"/>
  <c r="L87" i="3"/>
  <c r="O86" i="3"/>
  <c r="O87" i="3" s="1"/>
  <c r="K29" i="3"/>
  <c r="O100" i="3"/>
  <c r="L100" i="3"/>
  <c r="O96" i="3"/>
  <c r="M100" i="3"/>
  <c r="B21" i="3"/>
  <c r="E21" i="3" s="1"/>
  <c r="M43" i="3"/>
  <c r="M75" i="3"/>
  <c r="O74" i="3"/>
  <c r="O75" i="3" s="1"/>
  <c r="G48" i="3"/>
  <c r="I8" i="3"/>
  <c r="M23" i="3"/>
  <c r="M24" i="3" s="1"/>
  <c r="M26" i="3"/>
  <c r="M29" i="3" s="1"/>
  <c r="K14" i="3"/>
  <c r="I34" i="3"/>
  <c r="G43" i="3"/>
  <c r="M47" i="3"/>
  <c r="J48" i="3"/>
  <c r="M39" i="3"/>
  <c r="C48" i="3"/>
  <c r="M17" i="3"/>
  <c r="M21" i="3" s="1"/>
  <c r="E14" i="3"/>
  <c r="L48" i="3"/>
  <c r="E29" i="3"/>
  <c r="M5" i="3"/>
  <c r="F48" i="3"/>
  <c r="I43" i="3"/>
  <c r="M8" i="3"/>
  <c r="M14" i="3" s="1"/>
  <c r="H7" i="3"/>
  <c r="I19" i="3"/>
  <c r="I21" i="3" s="1"/>
  <c r="I26" i="3"/>
  <c r="I29" i="3" s="1"/>
  <c r="K5" i="3"/>
  <c r="B51" i="1"/>
  <c r="P15" i="1"/>
  <c r="P51" i="1" s="1"/>
  <c r="P43" i="1"/>
  <c r="H51" i="1"/>
  <c r="K51" i="1"/>
  <c r="B48" i="3" l="1"/>
  <c r="E48" i="3" s="1"/>
  <c r="M48" i="3"/>
  <c r="K48" i="3"/>
  <c r="H14" i="3"/>
  <c r="H48" i="3" s="1"/>
  <c r="I48" i="3" s="1"/>
  <c r="I7" i="3"/>
  <c r="I14" i="3" s="1"/>
</calcChain>
</file>

<file path=xl/comments1.xml><?xml version="1.0" encoding="utf-8"?>
<comments xmlns="http://schemas.openxmlformats.org/spreadsheetml/2006/main">
  <authors>
    <author>Author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Mirembajtja e programit Melita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Mirembajtja e programit Melita</t>
        </r>
      </text>
    </comment>
    <comment ref="H16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Mirembajtja e programit Melita</t>
        </r>
      </text>
    </comment>
  </commentList>
</comments>
</file>

<file path=xl/sharedStrings.xml><?xml version="1.0" encoding="utf-8"?>
<sst xmlns="http://schemas.openxmlformats.org/spreadsheetml/2006/main" count="551" uniqueCount="235">
  <si>
    <t>MALLRA 2022</t>
  </si>
  <si>
    <t>Pershkrimi</t>
  </si>
  <si>
    <t>Administrata</t>
  </si>
  <si>
    <t>Shendetsia</t>
  </si>
  <si>
    <t>DKA</t>
  </si>
  <si>
    <t>Z. Kryetarit</t>
  </si>
  <si>
    <t>Z. Kuvendit</t>
  </si>
  <si>
    <t>Inspeksioni</t>
  </si>
  <si>
    <t>Financa</t>
  </si>
  <si>
    <t>Prokurimi</t>
  </si>
  <si>
    <t>Infrastruktura</t>
  </si>
  <si>
    <t>DSHPE</t>
  </si>
  <si>
    <t>Pl .Mjedisor</t>
  </si>
  <si>
    <t>Qerdhja</t>
  </si>
  <si>
    <t>ZLK</t>
  </si>
  <si>
    <t>DKRS</t>
  </si>
  <si>
    <t>TOTAL</t>
  </si>
  <si>
    <t>Material Administrative</t>
  </si>
  <si>
    <t>Material Laboratorik</t>
  </si>
  <si>
    <t>Material Ampullar</t>
  </si>
  <si>
    <t>Material Stomatologjik</t>
  </si>
  <si>
    <t>Material Gjinekologjik - Radiologjik</t>
  </si>
  <si>
    <t>Material Administativo Shendetosor</t>
  </si>
  <si>
    <t>Furnizim me oksigjen</t>
  </si>
  <si>
    <t>Trajtimi I mbetjeve mjeksore</t>
  </si>
  <si>
    <t>Material Higjenik</t>
  </si>
  <si>
    <t>Furnizim me Tonera dhe servisim</t>
  </si>
  <si>
    <t>Petty Cash</t>
  </si>
  <si>
    <t>Derivate per vetura</t>
  </si>
  <si>
    <t>Derivate per gjenerator dhe kaldaja QPS</t>
  </si>
  <si>
    <t>Regjistrimi dhe sigurimi I automjeteve</t>
  </si>
  <si>
    <t>Mirmbajtja e veturave</t>
  </si>
  <si>
    <t>Mbushja e aparateve sigusise</t>
  </si>
  <si>
    <t>Mirmbajtja e ndiq.Publik</t>
  </si>
  <si>
    <t>Sinjalizimi horizontal dhe vertikal</t>
  </si>
  <si>
    <t>Hartimi I projekteve</t>
  </si>
  <si>
    <t>Kredit kartela</t>
  </si>
  <si>
    <t>Meditje per Udhetime zyrtare</t>
  </si>
  <si>
    <t>Shp.udhtime zyrtare</t>
  </si>
  <si>
    <t>Praktik profesionale</t>
  </si>
  <si>
    <t>Politika te reja ne Arsim</t>
  </si>
  <si>
    <t>Avans per udhetime zyratre</t>
  </si>
  <si>
    <t>Mirenjohje</t>
  </si>
  <si>
    <t>Dreka zyrtare</t>
  </si>
  <si>
    <t>Rastet emergjente</t>
  </si>
  <si>
    <t>Mirembajtja e objekteve komunale</t>
  </si>
  <si>
    <t>Telefonia Mobile</t>
  </si>
  <si>
    <t>Pastrimi I borës</t>
  </si>
  <si>
    <t>Rrenimi I objekteve</t>
  </si>
  <si>
    <t>DDD Deratiz.Dezinsekt</t>
  </si>
  <si>
    <t>Dru dhe pelet</t>
  </si>
  <si>
    <t>Mirembajtja rutinore/deponit</t>
  </si>
  <si>
    <t>Mbjellja e drunjve</t>
  </si>
  <si>
    <t>Mirmbajtja e parqeve</t>
  </si>
  <si>
    <t>Mirembajtja e lumenjeve dhe prockave</t>
  </si>
  <si>
    <t>Tabelat e vetdisimit</t>
  </si>
  <si>
    <t xml:space="preserve">Ushqim dhe pije per Qerdhe </t>
  </si>
  <si>
    <t>Furnizim me uje dhe gota dhe koktele</t>
  </si>
  <si>
    <t>Sigurimi fizik I objekteve komunale</t>
  </si>
  <si>
    <t>Sherbimet tjera kontraktuese sipas nevojave</t>
  </si>
  <si>
    <t>Sherbimet e Varrimit</t>
  </si>
  <si>
    <t xml:space="preserve"> </t>
  </si>
  <si>
    <t>Libreza Sanitare dhe mat sanitar</t>
  </si>
  <si>
    <t>.</t>
  </si>
  <si>
    <t>Uniforma</t>
  </si>
  <si>
    <t>Kshilla juridike</t>
  </si>
  <si>
    <t>Furnizim me lule -kurora</t>
  </si>
  <si>
    <t>Total</t>
  </si>
  <si>
    <t>GRANT</t>
  </si>
  <si>
    <t>LIGJI</t>
  </si>
  <si>
    <t>THV</t>
  </si>
  <si>
    <t>TOTALI</t>
  </si>
  <si>
    <t>MALLRA 2023</t>
  </si>
  <si>
    <t xml:space="preserve">Sherbimet tjera kontraktuese </t>
  </si>
  <si>
    <t>MALLRA 2024</t>
  </si>
  <si>
    <t>INVESTIMET KAPITALE  PLANIFIKIMI PËR VITIN 2022 DHE PARASHIKIMI PËR VITET 2023-2024</t>
  </si>
  <si>
    <t>ADMINISTRATA E PËRGJITHSHME</t>
  </si>
  <si>
    <t>HUAMARRJA</t>
  </si>
  <si>
    <t>SIPAS LIGJIT 05/L-044</t>
  </si>
  <si>
    <t>Ttotali 2021</t>
  </si>
  <si>
    <t>Grant 2022</t>
  </si>
  <si>
    <t>Ligji 05/l-044</t>
  </si>
  <si>
    <t>THV 2022</t>
  </si>
  <si>
    <t>TOTALI 2022</t>
  </si>
  <si>
    <t>VITI 2023</t>
  </si>
  <si>
    <t>VITI 2024</t>
  </si>
  <si>
    <t>Paisje kompjuterike</t>
  </si>
  <si>
    <t xml:space="preserve">Blerja e Inventarit -ormana </t>
  </si>
  <si>
    <t>TOTAL ADMINISTRATA:</t>
  </si>
  <si>
    <t>Ndriqimi Publik</t>
  </si>
  <si>
    <t>Shtruarja e rrugëve me zhavor</t>
  </si>
  <si>
    <t>Ndertimi i objekteve dhe renovimi i hapsirave per komunitetin</t>
  </si>
  <si>
    <t>Ndertimi dhe mirembajtja e stacioneve te qytetit</t>
  </si>
  <si>
    <t>Rregullimi dhe mirembajtja e rrugeve ne Obiliq</t>
  </si>
  <si>
    <t>Rregullimi i varrezave dhe mirëmbajtja</t>
  </si>
  <si>
    <t>Digjitalizimi i rrugeve dhe objekte publike Obiliq</t>
  </si>
  <si>
    <t xml:space="preserve">TOTAL DSHPE </t>
  </si>
  <si>
    <t>INFRASTRUKTURA</t>
  </si>
  <si>
    <t>Rregullimi i kanalizimit në Obiliq</t>
  </si>
  <si>
    <t>Bashkfinancim</t>
  </si>
  <si>
    <t>Asfaltimi i rrugeve rurale dhe trotuareve ne Obiliq</t>
  </si>
  <si>
    <t>Ndertimi i sheshit Adem Preniqi</t>
  </si>
  <si>
    <t>TOTAL INFRASTRUKTURA:</t>
  </si>
  <si>
    <t>URBANIZMI</t>
  </si>
  <si>
    <t>Ekspropriimi</t>
  </si>
  <si>
    <t>TOTAL URBANIZMI:</t>
  </si>
  <si>
    <t>PLANIFIKIMI MJEDISOR</t>
  </si>
  <si>
    <t>Rregullimi i parqeve ne Komunen e Obiliqit</t>
  </si>
  <si>
    <t>Furnizimi me kontinjera</t>
  </si>
  <si>
    <t>Koogjenerimi</t>
  </si>
  <si>
    <t>TOTAL  AMBIENTI:</t>
  </si>
  <si>
    <t>DREJTORIA E SHËNDETËSISË</t>
  </si>
  <si>
    <t xml:space="preserve">Paisje mjekëore për QKMF </t>
  </si>
  <si>
    <t>Renovimi i objekteve ne QKMF,AMF dhe QMF</t>
  </si>
  <si>
    <t>Inventar për QKMF QPS</t>
  </si>
  <si>
    <t>Blerja e veturave</t>
  </si>
  <si>
    <t>Nderimi I katit te dyte ne QKMF</t>
  </si>
  <si>
    <t>TOTALI DSHMS:</t>
  </si>
  <si>
    <t>Rregullimi I fushave sportive</t>
  </si>
  <si>
    <t>Fusha e trashegimisë kulturore dhe arkitektonike</t>
  </si>
  <si>
    <t>TOTALI DKRS:</t>
  </si>
  <si>
    <t>DREJTORIA E ARSIMIT</t>
  </si>
  <si>
    <t>Renovimi I shkollave dhe blerja e paisjeve</t>
  </si>
  <si>
    <t>Ndërtimi I sallave të edukatës fizike</t>
  </si>
  <si>
    <t>TOTALI DKA:</t>
  </si>
  <si>
    <t>TOTAL INVESTIME KAPITALE PËR VITIN:  2022-2024</t>
  </si>
  <si>
    <t>BUXHETI</t>
  </si>
  <si>
    <t>Paga</t>
  </si>
  <si>
    <t>Mallra</t>
  </si>
  <si>
    <t>komunale</t>
  </si>
  <si>
    <t>subvencione</t>
  </si>
  <si>
    <t>kapitale</t>
  </si>
  <si>
    <t>2024</t>
  </si>
  <si>
    <t>BUXHETI KOMUANL PËR VITET:</t>
  </si>
  <si>
    <t>GRANTI I PERGJITHSHEM</t>
  </si>
  <si>
    <t>GRANTI SPECIFIK I ARSIMIT</t>
  </si>
  <si>
    <t>GRANTI SPECIFIK I SHENDETESE</t>
  </si>
  <si>
    <t>TOTALI I GRANTIT 2022-2024</t>
  </si>
  <si>
    <t>LIGJI I OBILIQIT 05/L-044</t>
  </si>
  <si>
    <t>TOTALI ME MJETE TE LIGJIT 2022-2024</t>
  </si>
  <si>
    <t>TE HYRAT VETANAKE 2022-2024</t>
  </si>
  <si>
    <t>TOTAL BUXHETI PER VITET 2022-2024</t>
  </si>
  <si>
    <t>Kategoritë Ekonomike</t>
  </si>
  <si>
    <t>Paga dhe shtesa</t>
  </si>
  <si>
    <t>Mallra dhe sherbime</t>
  </si>
  <si>
    <t>Shpenzime komunale</t>
  </si>
  <si>
    <t>Subvencione dhe transfere</t>
  </si>
  <si>
    <t>Shpenzime kapitale</t>
  </si>
  <si>
    <t>TOTALI:</t>
  </si>
  <si>
    <t>SHPENZIMET KOMUNALE</t>
  </si>
  <si>
    <t>PLANIFIKIMI PER VITIN 2022 DHE PARASHIKIMI 2023-2024</t>
  </si>
  <si>
    <t>SHPENZIME KOMUNALE</t>
  </si>
  <si>
    <t>Grant</t>
  </si>
  <si>
    <t>Planifikimi Mjedisor</t>
  </si>
  <si>
    <t>Arsimi</t>
  </si>
  <si>
    <t>TOTALI:       2022</t>
  </si>
  <si>
    <t xml:space="preserve"> PARASHIKIMI PËR VITIN  2023</t>
  </si>
  <si>
    <t>TOTALI 2023</t>
  </si>
  <si>
    <t>TOTALI:       2023</t>
  </si>
  <si>
    <t xml:space="preserve"> PARASHIKIMI PËR VITIN  2024</t>
  </si>
  <si>
    <t>TOTALI 2024</t>
  </si>
  <si>
    <t>TOTALI:       2024</t>
  </si>
  <si>
    <t xml:space="preserve">PLANIFIKIMI PER VITIN 2022 </t>
  </si>
  <si>
    <t>SUBVENCIONET</t>
  </si>
  <si>
    <t>Ligji 05/L-044</t>
  </si>
  <si>
    <t>Totali 2022</t>
  </si>
  <si>
    <t>Zyra e kryetarit</t>
  </si>
  <si>
    <t>Kultura</t>
  </si>
  <si>
    <t>Bujqesia</t>
  </si>
  <si>
    <t>QPS</t>
  </si>
  <si>
    <t>TOTALI:  2022</t>
  </si>
  <si>
    <t>PARASHIKIMI PËR VITIN 2023</t>
  </si>
  <si>
    <t>Totali 2023</t>
  </si>
  <si>
    <t>PARASHIKIMI PËR VITIN 2024</t>
  </si>
  <si>
    <t>Totali 2024</t>
  </si>
  <si>
    <t>16304  ADMINISTRATA DHE PERSONELI</t>
  </si>
  <si>
    <t>GRANTI</t>
  </si>
  <si>
    <t>TË HYRAT VETANAKE</t>
  </si>
  <si>
    <t xml:space="preserve">TOTALI           10+21 </t>
  </si>
  <si>
    <t>10/614/16304/30/49740/0133</t>
  </si>
  <si>
    <t>PAISJE KOMPJUTERIKE</t>
  </si>
  <si>
    <t>10/614/16304/30/45594/0133</t>
  </si>
  <si>
    <t>BLERJA E INVENTARIT</t>
  </si>
  <si>
    <t>18004  SHËRBIMET PUBLIKE -  INFRASTRUKTURA RRUGORE - OBILIQ</t>
  </si>
  <si>
    <t>10/614/18004/30/43114/0451</t>
  </si>
  <si>
    <t>10/614/18004/30/45577/0451</t>
  </si>
  <si>
    <t>NDERTIMI DHE MIREMBATJA E STACIONEVE TE QYTETIT</t>
  </si>
  <si>
    <t>10/614/18004/30/45582/0451</t>
  </si>
  <si>
    <t>RREGULLIMI DHE MIREMBATJA E RRUGEVE OBILIQ</t>
  </si>
  <si>
    <t>10/614/18004/30/48494/0451</t>
  </si>
  <si>
    <t>NDRIQIMI PUBLIK</t>
  </si>
  <si>
    <t>10/614/18004/30/48615/0451</t>
  </si>
  <si>
    <t>RREGULLIMI I VARREZAVE DHE MIREMBAJTJA</t>
  </si>
  <si>
    <t>10/614/18004/30/49747/0451</t>
  </si>
  <si>
    <t>DIGJITALIZIMI I RRUGEVE DHE OBJEKTEVE PUBLIKE NE OBILIQ</t>
  </si>
  <si>
    <t>10/614/18004/30/49761/0451</t>
  </si>
  <si>
    <t>NDERTIMI I OBJEKTEVE DHE RENOVIMI I HAPSIRAVE PER KOMUNITETI</t>
  </si>
  <si>
    <t>INFRASTRUKTURA  PUBLIKE - OBILIQ</t>
  </si>
  <si>
    <t>10/614/18164/30/40239/0451</t>
  </si>
  <si>
    <t>RREGULL.KANALIZIMIT NE OBILIQ</t>
  </si>
  <si>
    <t>10/614/18164/30/40241/0451</t>
  </si>
  <si>
    <t>ASFALTIMI I RRUGEVE RURALE DHE TROTUARVE NË OBILIQ</t>
  </si>
  <si>
    <t>10/614/18164/30/49794/0451</t>
  </si>
  <si>
    <t>NDERTIMI I SHESHIT ADEM PRENIQI</t>
  </si>
  <si>
    <t>10/614/18164/30/89290/0451</t>
  </si>
  <si>
    <t>BASHKFINANCIM</t>
  </si>
  <si>
    <t>PLANIFIKIMI URBAN DHE INSPEKCIONI</t>
  </si>
  <si>
    <t>EKSPROPRIIMI</t>
  </si>
  <si>
    <t>66525  PLANIFIKIMI MJEDISOR DHE INSPEKCIONI</t>
  </si>
  <si>
    <t>10/614/66525/30/46811/0620</t>
  </si>
  <si>
    <t>RREGULLIMI I PARQEVE NE KOMUNEN E OBILIQIT</t>
  </si>
  <si>
    <t>10/614/66525/30/48895/0620</t>
  </si>
  <si>
    <t>KOOGJENERIMI</t>
  </si>
  <si>
    <t>10/614/66525/30/89292/0620</t>
  </si>
  <si>
    <t>FURNIZIMI ME KONTINJER</t>
  </si>
  <si>
    <t>73013  SHËNDETËSIA - ADMINISTRATA</t>
  </si>
  <si>
    <t>PAISJE MJEKSORE PËR QKMF</t>
  </si>
  <si>
    <t>10/614/73013/30/48637/0760</t>
  </si>
  <si>
    <t>BLERJA E AUTOAMBULANTAVE / VETURAVE</t>
  </si>
  <si>
    <t>RENOVIMI I OBJEKTEVE QKMF, AMF DHE QMF</t>
  </si>
  <si>
    <t>85004  SHËRBIMET KULTURORE</t>
  </si>
  <si>
    <t>10/614/85004/30/46816/0820</t>
  </si>
  <si>
    <t>RREGULLIMI I FUSHAVE SPORTIVE</t>
  </si>
  <si>
    <t>10/614/85004/30/48734/0820</t>
  </si>
  <si>
    <t>FUSHA E TRASHIGIMISE KULTURORE DHE ARKITEKTONIKE</t>
  </si>
  <si>
    <t>92020  ARSIMI ADMINISTRATA</t>
  </si>
  <si>
    <t>RENOVIM I SHKOLLAVE DHE BLERJA E PAISJEVE</t>
  </si>
  <si>
    <t>10/21/614/66325/30/47166/0620</t>
  </si>
  <si>
    <t>10/21/614/92020/30/49800/0980</t>
  </si>
  <si>
    <t>NDËRTIMI I SALLAVE TË EDUKATËS FIZIKE</t>
  </si>
  <si>
    <t>TOTAL VLERA  E INVESTIMEVE KAPITALE PËR VITIN 2022</t>
  </si>
  <si>
    <t>SHTRUARJA E RRUGËVE ME ZHAVOR</t>
  </si>
  <si>
    <t>10/21/614/73013/30/40246/0760</t>
  </si>
  <si>
    <t>21/614/73013/30/46804/0760</t>
  </si>
  <si>
    <t>10/21/614/92020/30/40256/0980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</si>
</sst>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3" tint="0.39991454817346722"/>
      </left>
      <right/>
      <top/>
      <bottom/>
      <diagonal/>
    </border>
    <border>
      <left/>
      <right style="hair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43" fontId="0" fillId="0" borderId="0" xfId="1" applyFont="1" applyFill="1"/>
    <xf numFmtId="0" fontId="0" fillId="0" borderId="0" xfId="0" applyFill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43" fontId="0" fillId="0" borderId="0" xfId="0" applyNumberFormat="1" applyFill="1"/>
    <xf numFmtId="43" fontId="7" fillId="0" borderId="6" xfId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" fontId="8" fillId="0" borderId="6" xfId="0" applyNumberFormat="1" applyFont="1" applyFill="1" applyBorder="1"/>
    <xf numFmtId="43" fontId="0" fillId="0" borderId="6" xfId="1" applyFont="1" applyFill="1" applyBorder="1"/>
    <xf numFmtId="4" fontId="0" fillId="0" borderId="6" xfId="0" applyNumberFormat="1" applyFill="1" applyBorder="1"/>
    <xf numFmtId="0" fontId="3" fillId="0" borderId="0" xfId="0" applyFont="1" applyFill="1"/>
    <xf numFmtId="4" fontId="3" fillId="0" borderId="6" xfId="0" applyNumberFormat="1" applyFont="1" applyFill="1" applyBorder="1"/>
    <xf numFmtId="4" fontId="5" fillId="0" borderId="6" xfId="0" applyNumberFormat="1" applyFont="1" applyFill="1" applyBorder="1"/>
    <xf numFmtId="43" fontId="3" fillId="0" borderId="6" xfId="1" applyFont="1" applyFill="1" applyBorder="1"/>
    <xf numFmtId="43" fontId="12" fillId="3" borderId="0" xfId="1" applyFont="1" applyFill="1" applyAlignment="1">
      <alignment horizontal="center" vertical="center" wrapText="1"/>
    </xf>
    <xf numFmtId="43" fontId="11" fillId="3" borderId="6" xfId="1" applyFont="1" applyFill="1" applyBorder="1" applyAlignment="1">
      <alignment horizontal="left" vertical="center" wrapText="1"/>
    </xf>
    <xf numFmtId="43" fontId="11" fillId="3" borderId="6" xfId="1" applyFont="1" applyFill="1" applyBorder="1" applyAlignment="1">
      <alignment horizontal="center" vertical="center" wrapText="1"/>
    </xf>
    <xf numFmtId="43" fontId="11" fillId="3" borderId="5" xfId="1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left" vertical="center" wrapText="1"/>
    </xf>
    <xf numFmtId="43" fontId="12" fillId="3" borderId="5" xfId="1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center" vertical="center" wrapText="1"/>
    </xf>
    <xf numFmtId="43" fontId="11" fillId="2" borderId="5" xfId="1" applyFont="1" applyFill="1" applyBorder="1" applyAlignment="1">
      <alignment horizontal="center" vertical="center" wrapText="1"/>
    </xf>
    <xf numFmtId="43" fontId="11" fillId="2" borderId="6" xfId="1" applyFont="1" applyFill="1" applyBorder="1" applyAlignment="1">
      <alignment horizontal="center" vertical="center" wrapText="1"/>
    </xf>
    <xf numFmtId="43" fontId="12" fillId="3" borderId="5" xfId="1" quotePrefix="1" applyFont="1" applyFill="1" applyBorder="1" applyAlignment="1">
      <alignment horizontal="center" vertical="center" wrapText="1"/>
    </xf>
    <xf numFmtId="43" fontId="11" fillId="2" borderId="5" xfId="1" quotePrefix="1" applyFont="1" applyFill="1" applyBorder="1" applyAlignment="1">
      <alignment horizontal="center" vertical="center" wrapText="1"/>
    </xf>
    <xf numFmtId="43" fontId="12" fillId="2" borderId="5" xfId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left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center" vertical="center" wrapText="1"/>
    </xf>
    <xf numFmtId="43" fontId="12" fillId="2" borderId="6" xfId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12" fillId="3" borderId="0" xfId="1" applyFont="1" applyFill="1" applyBorder="1"/>
    <xf numFmtId="43" fontId="13" fillId="3" borderId="0" xfId="1" applyFont="1" applyFill="1" applyBorder="1" applyAlignment="1">
      <alignment horizontal="left" vertical="center" wrapText="1"/>
    </xf>
    <xf numFmtId="43" fontId="13" fillId="3" borderId="0" xfId="1" applyFont="1" applyFill="1" applyBorder="1" applyAlignment="1">
      <alignment horizontal="center" vertical="center" wrapText="1"/>
    </xf>
    <xf numFmtId="43" fontId="11" fillId="3" borderId="0" xfId="1" applyFont="1" applyFill="1" applyBorder="1"/>
    <xf numFmtId="49" fontId="11" fillId="3" borderId="0" xfId="1" applyNumberFormat="1" applyFont="1" applyFill="1" applyBorder="1" applyAlignment="1">
      <alignment horizontal="center"/>
    </xf>
    <xf numFmtId="43" fontId="14" fillId="3" borderId="0" xfId="1" applyFont="1" applyFill="1" applyBorder="1" applyAlignment="1">
      <alignment horizontal="left" vertical="center" wrapText="1"/>
    </xf>
    <xf numFmtId="43" fontId="14" fillId="3" borderId="0" xfId="1" applyFont="1" applyFill="1" applyBorder="1" applyAlignment="1">
      <alignment horizontal="center" vertical="center" wrapText="1"/>
    </xf>
    <xf numFmtId="43" fontId="12" fillId="3" borderId="6" xfId="1" applyFont="1" applyFill="1" applyBorder="1"/>
    <xf numFmtId="43" fontId="15" fillId="3" borderId="6" xfId="1" applyFont="1" applyFill="1" applyBorder="1" applyAlignment="1">
      <alignment horizontal="center" vertical="center" wrapText="1"/>
    </xf>
    <xf numFmtId="43" fontId="16" fillId="3" borderId="6" xfId="1" applyFont="1" applyFill="1" applyBorder="1" applyAlignment="1">
      <alignment horizontal="center" vertical="center" wrapText="1"/>
    </xf>
    <xf numFmtId="43" fontId="14" fillId="3" borderId="0" xfId="1" applyFont="1" applyFill="1" applyBorder="1" applyAlignment="1">
      <alignment horizontal="left" wrapText="1" readingOrder="1"/>
    </xf>
    <xf numFmtId="43" fontId="14" fillId="3" borderId="0" xfId="1" applyFont="1" applyFill="1" applyBorder="1"/>
    <xf numFmtId="43" fontId="12" fillId="3" borderId="0" xfId="1" applyFont="1" applyFill="1" applyBorder="1" applyAlignment="1">
      <alignment horizontal="left" vertical="center" wrapText="1"/>
    </xf>
    <xf numFmtId="43" fontId="12" fillId="3" borderId="0" xfId="1" applyFont="1" applyFill="1" applyAlignment="1">
      <alignment horizontal="left" vertical="center" wrapText="1"/>
    </xf>
    <xf numFmtId="49" fontId="11" fillId="3" borderId="0" xfId="1" applyNumberFormat="1" applyFont="1" applyFill="1" applyAlignment="1">
      <alignment horizontal="center" vertical="center" wrapText="1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43" fontId="18" fillId="0" borderId="6" xfId="1" applyFont="1" applyBorder="1"/>
    <xf numFmtId="43" fontId="17" fillId="0" borderId="6" xfId="1" applyFont="1" applyBorder="1"/>
    <xf numFmtId="43" fontId="0" fillId="0" borderId="0" xfId="0" applyNumberFormat="1"/>
    <xf numFmtId="43" fontId="0" fillId="0" borderId="0" xfId="1" applyFont="1"/>
    <xf numFmtId="0" fontId="12" fillId="0" borderId="0" xfId="0" applyFont="1"/>
    <xf numFmtId="0" fontId="12" fillId="3" borderId="0" xfId="0" applyFont="1" applyFill="1"/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/>
    <xf numFmtId="43" fontId="12" fillId="3" borderId="7" xfId="1" applyFont="1" applyFill="1" applyBorder="1"/>
    <xf numFmtId="43" fontId="11" fillId="3" borderId="6" xfId="1" applyFont="1" applyFill="1" applyBorder="1"/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20" fillId="3" borderId="6" xfId="3" applyFont="1" applyFill="1" applyBorder="1" applyAlignment="1" applyProtection="1">
      <alignment vertical="top" wrapText="1" indent="1"/>
    </xf>
    <xf numFmtId="0" fontId="21" fillId="3" borderId="6" xfId="3" applyFont="1" applyFill="1" applyBorder="1" applyAlignment="1" applyProtection="1">
      <alignment vertical="top" wrapText="1" indent="1"/>
    </xf>
    <xf numFmtId="43" fontId="3" fillId="0" borderId="6" xfId="1" applyFont="1" applyBorder="1"/>
    <xf numFmtId="43" fontId="1" fillId="0" borderId="6" xfId="1" applyFont="1" applyBorder="1"/>
    <xf numFmtId="0" fontId="0" fillId="0" borderId="0" xfId="0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3" fontId="0" fillId="4" borderId="0" xfId="1" applyFont="1" applyFill="1"/>
    <xf numFmtId="43" fontId="0" fillId="4" borderId="0" xfId="1" applyFont="1" applyFill="1" applyAlignment="1">
      <alignment horizontal="center"/>
    </xf>
    <xf numFmtId="0" fontId="0" fillId="4" borderId="0" xfId="0" applyFont="1" applyFill="1"/>
    <xf numFmtId="0" fontId="0" fillId="4" borderId="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3" fontId="3" fillId="4" borderId="6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6" xfId="0" applyFont="1" applyBorder="1" applyAlignment="1">
      <alignment shrinkToFit="1"/>
    </xf>
    <xf numFmtId="0" fontId="22" fillId="0" borderId="6" xfId="0" applyFont="1" applyBorder="1"/>
    <xf numFmtId="43" fontId="0" fillId="0" borderId="6" xfId="1" applyFont="1" applyBorder="1"/>
    <xf numFmtId="43" fontId="0" fillId="0" borderId="6" xfId="1" applyFont="1" applyBorder="1" applyAlignment="1">
      <alignment horizontal="center"/>
    </xf>
    <xf numFmtId="43" fontId="0" fillId="0" borderId="6" xfId="0" applyNumberFormat="1" applyFont="1" applyBorder="1"/>
    <xf numFmtId="0" fontId="0" fillId="0" borderId="6" xfId="0" applyBorder="1" applyAlignment="1">
      <alignment shrinkToFit="1"/>
    </xf>
    <xf numFmtId="0" fontId="3" fillId="5" borderId="6" xfId="0" applyFont="1" applyFill="1" applyBorder="1" applyAlignment="1">
      <alignment horizontal="center"/>
    </xf>
    <xf numFmtId="43" fontId="3" fillId="5" borderId="6" xfId="1" applyFont="1" applyFill="1" applyBorder="1"/>
    <xf numFmtId="43" fontId="3" fillId="5" borderId="6" xfId="1" applyFont="1" applyFill="1" applyBorder="1" applyAlignment="1">
      <alignment horizontal="center"/>
    </xf>
    <xf numFmtId="43" fontId="3" fillId="5" borderId="6" xfId="0" applyNumberFormat="1" applyFont="1" applyFill="1" applyBorder="1"/>
    <xf numFmtId="43" fontId="3" fillId="0" borderId="6" xfId="0" applyNumberFormat="1" applyFont="1" applyBorder="1"/>
    <xf numFmtId="0" fontId="3" fillId="5" borderId="8" xfId="0" applyFont="1" applyFill="1" applyBorder="1" applyAlignment="1">
      <alignment horizontal="center"/>
    </xf>
    <xf numFmtId="0" fontId="0" fillId="3" borderId="6" xfId="0" applyFont="1" applyFill="1" applyBorder="1" applyAlignment="1">
      <alignment shrinkToFit="1"/>
    </xf>
    <xf numFmtId="0" fontId="22" fillId="3" borderId="6" xfId="0" applyFont="1" applyFill="1" applyBorder="1"/>
    <xf numFmtId="43" fontId="0" fillId="3" borderId="6" xfId="1" applyFont="1" applyFill="1" applyBorder="1"/>
    <xf numFmtId="43" fontId="3" fillId="3" borderId="6" xfId="1" applyFont="1" applyFill="1" applyBorder="1"/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43" fontId="3" fillId="5" borderId="6" xfId="1" applyFont="1" applyFill="1" applyBorder="1" applyAlignment="1"/>
    <xf numFmtId="43" fontId="3" fillId="4" borderId="11" xfId="1" applyFont="1" applyFill="1" applyBorder="1" applyAlignment="1">
      <alignment horizontal="center" vertical="center" wrapText="1"/>
    </xf>
    <xf numFmtId="43" fontId="0" fillId="3" borderId="0" xfId="1" applyFont="1" applyFill="1"/>
    <xf numFmtId="0" fontId="0" fillId="3" borderId="6" xfId="0" applyFill="1" applyBorder="1" applyAlignment="1">
      <alignment shrinkToFit="1"/>
    </xf>
    <xf numFmtId="0" fontId="3" fillId="4" borderId="6" xfId="0" applyFont="1" applyFill="1" applyBorder="1" applyAlignment="1">
      <alignment horizontal="center"/>
    </xf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43" fontId="0" fillId="3" borderId="6" xfId="1" applyFont="1" applyFill="1" applyBorder="1" applyAlignment="1">
      <alignment horizontal="center"/>
    </xf>
  </cellXfs>
  <cellStyles count="4">
    <cellStyle name="Comma" xfId="1" builtinId="3"/>
    <cellStyle name="Heading 1" xfId="2" builtinId="16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F7" sqref="F7:H7"/>
    </sheetView>
  </sheetViews>
  <sheetFormatPr defaultRowHeight="15" x14ac:dyDescent="0.25"/>
  <cols>
    <col min="2" max="2" width="50.42578125" bestFit="1" customWidth="1"/>
    <col min="3" max="5" width="21.7109375" bestFit="1" customWidth="1"/>
    <col min="6" max="8" width="14.28515625" bestFit="1" customWidth="1"/>
  </cols>
  <sheetData>
    <row r="3" spans="2:8" ht="21" x14ac:dyDescent="0.35">
      <c r="B3" s="52" t="s">
        <v>133</v>
      </c>
      <c r="C3" s="53">
        <v>2022</v>
      </c>
      <c r="D3" s="53">
        <v>2023</v>
      </c>
      <c r="E3" s="53">
        <v>2024</v>
      </c>
    </row>
    <row r="4" spans="2:8" ht="21" x14ac:dyDescent="0.35">
      <c r="B4" s="54" t="s">
        <v>134</v>
      </c>
      <c r="C4" s="55">
        <v>2361676</v>
      </c>
      <c r="D4" s="55">
        <v>2462795</v>
      </c>
      <c r="E4" s="55">
        <v>2577500</v>
      </c>
    </row>
    <row r="5" spans="2:8" ht="21" x14ac:dyDescent="0.35">
      <c r="B5" s="54" t="s">
        <v>135</v>
      </c>
      <c r="C5" s="55">
        <v>2744061</v>
      </c>
      <c r="D5" s="55">
        <v>2881264</v>
      </c>
      <c r="E5" s="55">
        <v>3025327</v>
      </c>
    </row>
    <row r="6" spans="2:8" ht="21" x14ac:dyDescent="0.35">
      <c r="B6" s="54" t="s">
        <v>136</v>
      </c>
      <c r="C6" s="55">
        <v>807703</v>
      </c>
      <c r="D6" s="55">
        <v>848088</v>
      </c>
      <c r="E6" s="55">
        <v>890493</v>
      </c>
    </row>
    <row r="7" spans="2:8" ht="21" x14ac:dyDescent="0.35">
      <c r="B7" s="52" t="s">
        <v>137</v>
      </c>
      <c r="C7" s="56">
        <f>SUM(C4:C6)</f>
        <v>5913440</v>
      </c>
      <c r="D7" s="56">
        <f>SUM(D4:D6)</f>
        <v>6192147</v>
      </c>
      <c r="E7" s="56">
        <f>SUM(E4:E6)</f>
        <v>6493320</v>
      </c>
      <c r="F7" s="57"/>
      <c r="G7" s="57"/>
      <c r="H7" s="57"/>
    </row>
    <row r="8" spans="2:8" ht="21" x14ac:dyDescent="0.35">
      <c r="B8" s="54" t="s">
        <v>138</v>
      </c>
      <c r="C8" s="55">
        <v>5000000</v>
      </c>
      <c r="D8" s="55">
        <v>5000000</v>
      </c>
      <c r="E8" s="55">
        <v>5000000</v>
      </c>
    </row>
    <row r="9" spans="2:8" ht="21" x14ac:dyDescent="0.35">
      <c r="B9" s="52" t="s">
        <v>139</v>
      </c>
      <c r="C9" s="56">
        <f>SUM(C7:C8)</f>
        <v>10913440</v>
      </c>
      <c r="D9" s="56">
        <f>SUM(D7:D8)</f>
        <v>11192147</v>
      </c>
      <c r="E9" s="56">
        <f>SUM(E7:E8)</f>
        <v>11493320</v>
      </c>
    </row>
    <row r="10" spans="2:8" ht="21" x14ac:dyDescent="0.35">
      <c r="B10" s="54" t="s">
        <v>140</v>
      </c>
      <c r="C10" s="55">
        <v>908730</v>
      </c>
      <c r="D10" s="55">
        <v>959378</v>
      </c>
      <c r="E10" s="55">
        <v>1001261</v>
      </c>
    </row>
    <row r="11" spans="2:8" ht="21" x14ac:dyDescent="0.35">
      <c r="B11" s="52" t="s">
        <v>141</v>
      </c>
      <c r="C11" s="56">
        <f>SUM(C9:C10)</f>
        <v>11822170</v>
      </c>
      <c r="D11" s="56">
        <f>SUM(D9:D10)</f>
        <v>12151525</v>
      </c>
      <c r="E11" s="56">
        <f>SUM(E9:E10)</f>
        <v>12494581</v>
      </c>
    </row>
    <row r="12" spans="2:8" x14ac:dyDescent="0.25">
      <c r="C12" s="58"/>
      <c r="D12" s="58"/>
      <c r="E12" s="58"/>
    </row>
    <row r="13" spans="2:8" x14ac:dyDescent="0.25">
      <c r="C13" s="58"/>
      <c r="D13" s="58"/>
      <c r="E13" s="58"/>
    </row>
    <row r="16" spans="2:8" ht="21" x14ac:dyDescent="0.35">
      <c r="B16" s="52" t="s">
        <v>142</v>
      </c>
      <c r="C16" s="52">
        <v>2022</v>
      </c>
      <c r="D16" s="52">
        <v>2023</v>
      </c>
      <c r="E16" s="52">
        <v>2024</v>
      </c>
    </row>
    <row r="17" spans="2:5" ht="21" x14ac:dyDescent="0.35">
      <c r="B17" s="54" t="s">
        <v>143</v>
      </c>
      <c r="C17" s="55">
        <v>4350000</v>
      </c>
      <c r="D17" s="55">
        <v>4371750</v>
      </c>
      <c r="E17" s="55">
        <v>4393609</v>
      </c>
    </row>
    <row r="18" spans="2:5" ht="21" x14ac:dyDescent="0.35">
      <c r="B18" s="54" t="s">
        <v>144</v>
      </c>
      <c r="C18" s="55">
        <v>1288679</v>
      </c>
      <c r="D18" s="55">
        <v>1331497</v>
      </c>
      <c r="E18" s="55">
        <v>1347610</v>
      </c>
    </row>
    <row r="19" spans="2:5" ht="21" x14ac:dyDescent="0.35">
      <c r="B19" s="54" t="s">
        <v>145</v>
      </c>
      <c r="C19" s="55">
        <v>376675</v>
      </c>
      <c r="D19" s="55">
        <v>324852</v>
      </c>
      <c r="E19" s="55">
        <v>337846</v>
      </c>
    </row>
    <row r="20" spans="2:5" ht="21" x14ac:dyDescent="0.35">
      <c r="B20" s="54" t="s">
        <v>146</v>
      </c>
      <c r="C20" s="55">
        <v>850000</v>
      </c>
      <c r="D20" s="55">
        <v>921146</v>
      </c>
      <c r="E20" s="55">
        <v>985412</v>
      </c>
    </row>
    <row r="21" spans="2:5" ht="21" x14ac:dyDescent="0.35">
      <c r="B21" s="54" t="s">
        <v>147</v>
      </c>
      <c r="C21" s="55">
        <v>5016815</v>
      </c>
      <c r="D21" s="55">
        <v>5202280</v>
      </c>
      <c r="E21" s="55">
        <v>5430104</v>
      </c>
    </row>
    <row r="22" spans="2:5" ht="21" x14ac:dyDescent="0.35">
      <c r="B22" s="52" t="s">
        <v>148</v>
      </c>
      <c r="C22" s="56">
        <f>SUM(C17:C21)</f>
        <v>11882169</v>
      </c>
      <c r="D22" s="56">
        <f>SUM(D17:D21)</f>
        <v>12151525</v>
      </c>
      <c r="E22" s="56">
        <f>SUM(E17:E21)</f>
        <v>12494581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3"/>
  <sheetViews>
    <sheetView workbookViewId="0">
      <selection activeCell="A52" sqref="A52:XFD196"/>
    </sheetView>
  </sheetViews>
  <sheetFormatPr defaultRowHeight="15" x14ac:dyDescent="0.25"/>
  <cols>
    <col min="1" max="1" width="28.85546875" style="2" customWidth="1"/>
    <col min="2" max="4" width="12" style="2" bestFit="1" customWidth="1"/>
    <col min="5" max="5" width="11.140625" style="2" bestFit="1" customWidth="1"/>
    <col min="6" max="6" width="11.7109375" style="2" bestFit="1" customWidth="1"/>
    <col min="7" max="7" width="0.28515625" style="2" customWidth="1"/>
    <col min="8" max="8" width="11.7109375" style="2" bestFit="1" customWidth="1"/>
    <col min="9" max="9" width="10.140625" style="2" bestFit="1" customWidth="1"/>
    <col min="10" max="10" width="10.140625" style="2" customWidth="1"/>
    <col min="11" max="12" width="12" style="2" bestFit="1" customWidth="1"/>
    <col min="13" max="13" width="11.140625" style="2" bestFit="1" customWidth="1"/>
    <col min="14" max="14" width="10.140625" style="2" bestFit="1" customWidth="1"/>
    <col min="15" max="15" width="11.140625" style="2" bestFit="1" customWidth="1"/>
    <col min="16" max="16" width="13.7109375" style="2" bestFit="1" customWidth="1"/>
    <col min="17" max="17" width="13.28515625" style="1" bestFit="1" customWidth="1"/>
    <col min="18" max="18" width="11.5703125" style="1" bestFit="1" customWidth="1"/>
    <col min="19" max="19" width="11.5703125" style="2" bestFit="1" customWidth="1"/>
    <col min="20" max="16384" width="9.140625" style="2"/>
  </cols>
  <sheetData>
    <row r="1" spans="1:16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8"/>
    </row>
    <row r="2" spans="1:16" ht="20.2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x14ac:dyDescent="0.25">
      <c r="A3" s="5" t="s">
        <v>17</v>
      </c>
      <c r="B3" s="6">
        <v>12000</v>
      </c>
      <c r="C3" s="6">
        <v>2000</v>
      </c>
      <c r="D3" s="6">
        <v>2000</v>
      </c>
      <c r="E3" s="6">
        <v>0</v>
      </c>
      <c r="F3" s="6">
        <v>1000</v>
      </c>
      <c r="G3" s="6"/>
      <c r="H3" s="6">
        <v>3000</v>
      </c>
      <c r="I3" s="6">
        <v>1000</v>
      </c>
      <c r="J3" s="6"/>
      <c r="K3" s="6">
        <f>500-500</f>
        <v>0</v>
      </c>
      <c r="L3" s="6"/>
      <c r="M3" s="6">
        <v>1000</v>
      </c>
      <c r="N3" s="6"/>
      <c r="O3" s="6">
        <v>500</v>
      </c>
      <c r="P3" s="6">
        <f t="shared" ref="P3:P8" si="0">B3+C3+D3+E3+F3+G3+H3+I3+K3+L3+M3+N3+O3</f>
        <v>22500</v>
      </c>
    </row>
    <row r="4" spans="1:16" x14ac:dyDescent="0.25">
      <c r="A4" s="5" t="s">
        <v>18</v>
      </c>
      <c r="B4" s="6"/>
      <c r="C4" s="6">
        <v>20000</v>
      </c>
      <c r="D4" s="6">
        <v>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>
        <f t="shared" si="0"/>
        <v>20000</v>
      </c>
    </row>
    <row r="5" spans="1:16" x14ac:dyDescent="0.25">
      <c r="A5" s="5" t="s">
        <v>19</v>
      </c>
      <c r="B5" s="6"/>
      <c r="C5" s="6">
        <v>25000</v>
      </c>
      <c r="D5" s="6"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 t="shared" si="0"/>
        <v>25000</v>
      </c>
    </row>
    <row r="6" spans="1:16" x14ac:dyDescent="0.25">
      <c r="A6" s="5" t="s">
        <v>20</v>
      </c>
      <c r="B6" s="6"/>
      <c r="C6" s="6">
        <v>8000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 t="shared" si="0"/>
        <v>8000</v>
      </c>
    </row>
    <row r="7" spans="1:16" x14ac:dyDescent="0.25">
      <c r="A7" s="5" t="s">
        <v>21</v>
      </c>
      <c r="B7" s="6"/>
      <c r="C7" s="6">
        <v>2000</v>
      </c>
      <c r="D7" s="6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 t="shared" si="0"/>
        <v>2000</v>
      </c>
    </row>
    <row r="8" spans="1:16" x14ac:dyDescent="0.25">
      <c r="A8" s="5" t="s">
        <v>22</v>
      </c>
      <c r="B8" s="6"/>
      <c r="C8" s="6">
        <v>1000</v>
      </c>
      <c r="D8" s="6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f t="shared" si="0"/>
        <v>1000</v>
      </c>
    </row>
    <row r="9" spans="1:16" x14ac:dyDescent="0.25">
      <c r="A9" s="5" t="s">
        <v>23</v>
      </c>
      <c r="B9" s="6"/>
      <c r="C9" s="6">
        <v>2000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f>SUM(B9:O9)</f>
        <v>2000</v>
      </c>
    </row>
    <row r="10" spans="1:16" x14ac:dyDescent="0.25">
      <c r="A10" s="5" t="s">
        <v>24</v>
      </c>
      <c r="B10" s="6"/>
      <c r="C10" s="6">
        <v>5000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f>SUM(B10:O10)</f>
        <v>5000</v>
      </c>
    </row>
    <row r="11" spans="1:16" x14ac:dyDescent="0.25">
      <c r="A11" s="5" t="s">
        <v>25</v>
      </c>
      <c r="B11" s="6">
        <v>2000</v>
      </c>
      <c r="C11" s="6">
        <v>4000</v>
      </c>
      <c r="D11" s="6">
        <f>12000-1541</f>
        <v>10459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20" si="1">B11+C11+D11+E11+F11+G11+H11+I11+K11+L11+M11+N11+O11</f>
        <v>16459</v>
      </c>
    </row>
    <row r="12" spans="1:16" x14ac:dyDescent="0.25">
      <c r="A12" s="5" t="s">
        <v>26</v>
      </c>
      <c r="B12" s="6">
        <f>9000-1000-3000</f>
        <v>5000</v>
      </c>
      <c r="C12" s="6">
        <v>500</v>
      </c>
      <c r="D12" s="6">
        <v>1000</v>
      </c>
      <c r="E12" s="6"/>
      <c r="F12" s="6"/>
      <c r="G12" s="6"/>
      <c r="H12" s="6"/>
      <c r="I12" s="6">
        <v>0</v>
      </c>
      <c r="J12" s="6"/>
      <c r="K12" s="6"/>
      <c r="L12" s="6"/>
      <c r="M12" s="6"/>
      <c r="N12" s="6"/>
      <c r="O12" s="6"/>
      <c r="P12" s="6">
        <f t="shared" si="1"/>
        <v>6500</v>
      </c>
    </row>
    <row r="13" spans="1:16" x14ac:dyDescent="0.25">
      <c r="A13" s="5" t="s">
        <v>27</v>
      </c>
      <c r="B13" s="6">
        <v>1000</v>
      </c>
      <c r="C13" s="6">
        <v>1000</v>
      </c>
      <c r="D13" s="6">
        <v>3000</v>
      </c>
      <c r="E13" s="6"/>
      <c r="F13" s="6"/>
      <c r="G13" s="6"/>
      <c r="H13" s="6"/>
      <c r="I13" s="6">
        <v>0</v>
      </c>
      <c r="J13" s="6"/>
      <c r="K13" s="6"/>
      <c r="L13" s="6"/>
      <c r="M13" s="6"/>
      <c r="N13" s="6"/>
      <c r="O13" s="6"/>
      <c r="P13" s="6">
        <f t="shared" si="1"/>
        <v>5000</v>
      </c>
    </row>
    <row r="14" spans="1:16" x14ac:dyDescent="0.25">
      <c r="A14" s="5" t="s">
        <v>28</v>
      </c>
      <c r="B14" s="6"/>
      <c r="C14" s="6">
        <v>8000</v>
      </c>
      <c r="D14" s="6"/>
      <c r="E14" s="6"/>
      <c r="F14" s="6"/>
      <c r="G14" s="6"/>
      <c r="H14" s="6"/>
      <c r="I14" s="6">
        <v>0</v>
      </c>
      <c r="J14" s="6"/>
      <c r="K14" s="6">
        <v>50000</v>
      </c>
      <c r="L14" s="6"/>
      <c r="M14" s="6"/>
      <c r="N14" s="6"/>
      <c r="O14" s="6"/>
      <c r="P14" s="6">
        <f t="shared" si="1"/>
        <v>58000</v>
      </c>
    </row>
    <row r="15" spans="1:16" x14ac:dyDescent="0.25">
      <c r="A15" s="5" t="s">
        <v>29</v>
      </c>
      <c r="B15" s="6"/>
      <c r="C15" s="6">
        <v>3000</v>
      </c>
      <c r="D15" s="6">
        <f>5000-2500</f>
        <v>2500</v>
      </c>
      <c r="E15" s="6"/>
      <c r="F15" s="6"/>
      <c r="G15" s="6"/>
      <c r="H15" s="6"/>
      <c r="I15" s="6">
        <v>0</v>
      </c>
      <c r="J15" s="6"/>
      <c r="K15" s="6">
        <v>2000</v>
      </c>
      <c r="L15" s="6"/>
      <c r="M15" s="6"/>
      <c r="N15" s="6"/>
      <c r="O15" s="6"/>
      <c r="P15" s="6">
        <f t="shared" si="1"/>
        <v>7500</v>
      </c>
    </row>
    <row r="16" spans="1:16" x14ac:dyDescent="0.25">
      <c r="A16" s="5" t="s">
        <v>30</v>
      </c>
      <c r="B16" s="6"/>
      <c r="C16" s="6">
        <v>1500</v>
      </c>
      <c r="D16" s="6">
        <v>0</v>
      </c>
      <c r="E16" s="6"/>
      <c r="F16" s="6"/>
      <c r="G16" s="6"/>
      <c r="H16" s="6">
        <v>0</v>
      </c>
      <c r="I16" s="6">
        <v>0</v>
      </c>
      <c r="J16" s="6"/>
      <c r="K16" s="6">
        <v>7000</v>
      </c>
      <c r="L16" s="6"/>
      <c r="M16" s="6"/>
      <c r="N16" s="6"/>
      <c r="O16" s="6"/>
      <c r="P16" s="6">
        <f t="shared" si="1"/>
        <v>8500</v>
      </c>
    </row>
    <row r="17" spans="1:19" ht="12" customHeight="1" x14ac:dyDescent="0.25">
      <c r="A17" s="5" t="s">
        <v>31</v>
      </c>
      <c r="B17" s="6"/>
      <c r="C17" s="6"/>
      <c r="D17" s="6"/>
      <c r="E17" s="6"/>
      <c r="F17" s="6"/>
      <c r="G17" s="6"/>
      <c r="H17" s="6"/>
      <c r="I17" s="6"/>
      <c r="J17" s="6"/>
      <c r="K17" s="6">
        <v>15000</v>
      </c>
      <c r="L17" s="6"/>
      <c r="M17" s="6"/>
      <c r="N17" s="6"/>
      <c r="O17" s="6"/>
      <c r="P17" s="6">
        <f t="shared" si="1"/>
        <v>15000</v>
      </c>
    </row>
    <row r="18" spans="1:19" ht="12" customHeight="1" x14ac:dyDescent="0.25">
      <c r="A18" s="5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>
        <v>1500</v>
      </c>
      <c r="L18" s="6"/>
      <c r="M18" s="6"/>
      <c r="N18" s="6"/>
      <c r="O18" s="6"/>
      <c r="P18" s="6">
        <f t="shared" si="1"/>
        <v>1500</v>
      </c>
    </row>
    <row r="19" spans="1:19" ht="12" customHeight="1" x14ac:dyDescent="0.25">
      <c r="A19" s="5" t="s">
        <v>33</v>
      </c>
      <c r="B19" s="6"/>
      <c r="C19" s="6"/>
      <c r="D19" s="6"/>
      <c r="E19" s="6"/>
      <c r="F19" s="6"/>
      <c r="G19" s="6"/>
      <c r="H19" s="6"/>
      <c r="I19" s="6"/>
      <c r="J19" s="6"/>
      <c r="K19" s="6">
        <f>30000+10000</f>
        <v>40000</v>
      </c>
      <c r="L19" s="6"/>
      <c r="M19" s="6"/>
      <c r="N19" s="6"/>
      <c r="O19" s="6"/>
      <c r="P19" s="6">
        <f t="shared" si="1"/>
        <v>40000</v>
      </c>
    </row>
    <row r="20" spans="1:19" ht="12" customHeight="1" x14ac:dyDescent="0.25">
      <c r="A20" s="5" t="s">
        <v>34</v>
      </c>
      <c r="B20" s="6"/>
      <c r="C20" s="6"/>
      <c r="D20" s="6"/>
      <c r="E20" s="6"/>
      <c r="F20" s="6"/>
      <c r="G20" s="6"/>
      <c r="H20" s="6"/>
      <c r="I20" s="6"/>
      <c r="J20" s="6"/>
      <c r="K20" s="6">
        <v>35000</v>
      </c>
      <c r="L20" s="6"/>
      <c r="M20" s="6"/>
      <c r="N20" s="6"/>
      <c r="O20" s="6"/>
      <c r="P20" s="6">
        <f t="shared" si="1"/>
        <v>35000</v>
      </c>
    </row>
    <row r="21" spans="1:19" ht="12" customHeight="1" x14ac:dyDescent="0.25">
      <c r="A21" s="5" t="s">
        <v>35</v>
      </c>
      <c r="B21" s="6"/>
      <c r="C21" s="6"/>
      <c r="D21" s="6"/>
      <c r="E21" s="6"/>
      <c r="F21" s="6"/>
      <c r="G21" s="6"/>
      <c r="H21" s="6"/>
      <c r="I21" s="6"/>
      <c r="J21" s="6">
        <v>100000</v>
      </c>
      <c r="K21" s="6"/>
      <c r="L21" s="6"/>
      <c r="M21" s="6"/>
      <c r="N21" s="6"/>
      <c r="O21" s="6"/>
      <c r="P21" s="6">
        <f>SUM(B21:O21)</f>
        <v>100000</v>
      </c>
    </row>
    <row r="22" spans="1:19" ht="12" customHeight="1" x14ac:dyDescent="0.25">
      <c r="A22" s="5" t="s">
        <v>36</v>
      </c>
      <c r="B22" s="6">
        <f>2000-2000</f>
        <v>0</v>
      </c>
      <c r="C22" s="6"/>
      <c r="D22" s="6"/>
      <c r="E22" s="6">
        <v>4000</v>
      </c>
      <c r="F22" s="6"/>
      <c r="G22" s="6"/>
      <c r="H22" s="6"/>
      <c r="I22" s="6">
        <v>0</v>
      </c>
      <c r="J22" s="6"/>
      <c r="K22" s="6"/>
      <c r="L22" s="6"/>
      <c r="M22" s="6"/>
      <c r="N22" s="6"/>
      <c r="O22" s="6"/>
      <c r="P22" s="6">
        <f>B22+C22+D22+E22+F22+G22+H22+I22+K22+L22+M22+N22+O22</f>
        <v>4000</v>
      </c>
    </row>
    <row r="23" spans="1:19" ht="12" customHeight="1" x14ac:dyDescent="0.25">
      <c r="A23" s="5" t="s">
        <v>37</v>
      </c>
      <c r="B23" s="6">
        <f>6000-1000-2500</f>
        <v>2500</v>
      </c>
      <c r="C23" s="6"/>
      <c r="D23" s="6">
        <v>0</v>
      </c>
      <c r="E23" s="6">
        <v>1000</v>
      </c>
      <c r="F23" s="6">
        <v>1000</v>
      </c>
      <c r="G23" s="6"/>
      <c r="H23" s="6">
        <v>0</v>
      </c>
      <c r="I23" s="6">
        <v>0</v>
      </c>
      <c r="J23" s="6"/>
      <c r="K23" s="6"/>
      <c r="L23" s="6"/>
      <c r="M23" s="6"/>
      <c r="N23" s="6">
        <v>1000</v>
      </c>
      <c r="O23" s="6"/>
      <c r="P23" s="6">
        <f>B23+C23+D23+E23+F23+G23+H23+I23+K23+L23+M23+N23+O23</f>
        <v>5500</v>
      </c>
    </row>
    <row r="24" spans="1:19" ht="12" customHeight="1" x14ac:dyDescent="0.25">
      <c r="A24" s="5" t="s">
        <v>38</v>
      </c>
      <c r="B24" s="6">
        <f>3000+1000-1000-1000</f>
        <v>2000</v>
      </c>
      <c r="C24" s="6"/>
      <c r="D24" s="6"/>
      <c r="E24" s="6"/>
      <c r="F24" s="6"/>
      <c r="G24" s="6"/>
      <c r="H24" s="6"/>
      <c r="I24" s="6"/>
      <c r="J24" s="6"/>
      <c r="K24" s="6"/>
      <c r="L24" s="6">
        <f>2000-1500</f>
        <v>500</v>
      </c>
      <c r="M24" s="6"/>
      <c r="N24" s="6">
        <v>1000</v>
      </c>
      <c r="O24" s="6"/>
      <c r="P24" s="6">
        <f>B24+C24+D24+E24+F24+G24+H24+I24+K24+L24+M24+N24+O24</f>
        <v>3500</v>
      </c>
    </row>
    <row r="25" spans="1:19" ht="12" customHeight="1" x14ac:dyDescent="0.25">
      <c r="A25" s="5" t="s">
        <v>39</v>
      </c>
      <c r="B25" s="6"/>
      <c r="C25" s="6"/>
      <c r="D25" s="6">
        <f>14591+24149</f>
        <v>38740</v>
      </c>
      <c r="E25" s="6">
        <f>2000+1000-3000</f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>B25+C25+D25+E25+F25+G25+H25+I25+K25+L25+M25+N25+O25</f>
        <v>38740</v>
      </c>
    </row>
    <row r="26" spans="1:19" ht="12" customHeight="1" x14ac:dyDescent="0.25">
      <c r="A26" s="5" t="s">
        <v>40</v>
      </c>
      <c r="B26" s="6"/>
      <c r="C26" s="6"/>
      <c r="D26" s="6">
        <v>133993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>SUM(B26:O26)</f>
        <v>133993</v>
      </c>
    </row>
    <row r="27" spans="1:19" ht="12" customHeight="1" x14ac:dyDescent="0.25">
      <c r="A27" s="5" t="s">
        <v>41</v>
      </c>
      <c r="B27" s="6">
        <v>5000</v>
      </c>
      <c r="C27" s="6"/>
      <c r="D27" s="6">
        <v>0</v>
      </c>
      <c r="E27" s="6">
        <v>4000</v>
      </c>
      <c r="F27" s="6">
        <v>4000</v>
      </c>
      <c r="G27" s="6"/>
      <c r="H27" s="6"/>
      <c r="I27" s="6">
        <v>0</v>
      </c>
      <c r="J27" s="6"/>
      <c r="K27" s="6"/>
      <c r="L27" s="6"/>
      <c r="M27" s="6"/>
      <c r="N27" s="6"/>
      <c r="O27" s="6"/>
      <c r="P27" s="6">
        <f>SUM(B27:O27)</f>
        <v>13000</v>
      </c>
    </row>
    <row r="28" spans="1:19" ht="9" customHeight="1" x14ac:dyDescent="0.25">
      <c r="A28" s="5" t="s">
        <v>42</v>
      </c>
      <c r="B28" s="6"/>
      <c r="C28" s="6"/>
      <c r="D28" s="6">
        <v>1500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2500</v>
      </c>
      <c r="P28" s="6">
        <f t="shared" ref="P28:P39" si="2">B28+C28+D28+E28+F28+G28+H28+I28+K28+L28+M28+N28+O28</f>
        <v>4000</v>
      </c>
    </row>
    <row r="29" spans="1:19" ht="9.75" customHeight="1" x14ac:dyDescent="0.25">
      <c r="A29" s="5" t="s">
        <v>43</v>
      </c>
      <c r="B29" s="6">
        <f>4500+1000</f>
        <v>5500</v>
      </c>
      <c r="C29" s="6">
        <v>500</v>
      </c>
      <c r="D29" s="6">
        <v>0</v>
      </c>
      <c r="E29" s="6">
        <v>1000</v>
      </c>
      <c r="F29" s="6">
        <v>2000</v>
      </c>
      <c r="G29" s="6"/>
      <c r="H29" s="6">
        <v>1000</v>
      </c>
      <c r="I29" s="6">
        <v>0</v>
      </c>
      <c r="J29" s="6"/>
      <c r="K29" s="6"/>
      <c r="L29" s="6"/>
      <c r="M29" s="6"/>
      <c r="N29" s="6">
        <v>500</v>
      </c>
      <c r="O29" s="6"/>
      <c r="P29" s="6">
        <f t="shared" si="2"/>
        <v>10500</v>
      </c>
    </row>
    <row r="30" spans="1:19" ht="12" customHeight="1" x14ac:dyDescent="0.25">
      <c r="A30" s="5" t="s">
        <v>44</v>
      </c>
      <c r="B30" s="6"/>
      <c r="C30" s="6"/>
      <c r="D30" s="6"/>
      <c r="E30" s="6"/>
      <c r="F30" s="6"/>
      <c r="G30" s="6"/>
      <c r="H30" s="6"/>
      <c r="I30" s="6"/>
      <c r="J30" s="6"/>
      <c r="K30" s="6">
        <v>50000</v>
      </c>
      <c r="L30" s="6"/>
      <c r="M30" s="6"/>
      <c r="N30" s="6"/>
      <c r="O30" s="6"/>
      <c r="P30" s="6">
        <f t="shared" si="2"/>
        <v>50000</v>
      </c>
      <c r="S30" s="7"/>
    </row>
    <row r="31" spans="1:19" ht="9.75" customHeight="1" x14ac:dyDescent="0.25">
      <c r="A31" s="5" t="s">
        <v>45</v>
      </c>
      <c r="B31" s="6">
        <f>11000+15000</f>
        <v>26000</v>
      </c>
      <c r="C31" s="6"/>
      <c r="D31" s="6"/>
      <c r="E31" s="6">
        <v>0</v>
      </c>
      <c r="F31" s="6">
        <v>0</v>
      </c>
      <c r="G31" s="6"/>
      <c r="H31" s="6">
        <f>3000-3000</f>
        <v>0</v>
      </c>
      <c r="I31" s="6">
        <v>0</v>
      </c>
      <c r="J31" s="6"/>
      <c r="K31" s="6"/>
      <c r="L31" s="6"/>
      <c r="M31" s="6"/>
      <c r="N31" s="6"/>
      <c r="O31" s="6">
        <v>3000</v>
      </c>
      <c r="P31" s="6">
        <f t="shared" si="2"/>
        <v>29000</v>
      </c>
    </row>
    <row r="32" spans="1:19" ht="9.75" customHeight="1" x14ac:dyDescent="0.25">
      <c r="A32" s="5" t="s">
        <v>46</v>
      </c>
      <c r="B32" s="6">
        <v>16000</v>
      </c>
      <c r="C32" s="6"/>
      <c r="D32" s="6">
        <v>0</v>
      </c>
      <c r="E32" s="6"/>
      <c r="F32" s="6">
        <v>0</v>
      </c>
      <c r="G32" s="6"/>
      <c r="H32" s="6"/>
      <c r="I32" s="6">
        <v>0</v>
      </c>
      <c r="J32" s="6"/>
      <c r="K32" s="6"/>
      <c r="L32" s="6"/>
      <c r="M32" s="6"/>
      <c r="N32" s="6"/>
      <c r="O32" s="6"/>
      <c r="P32" s="6">
        <f t="shared" si="2"/>
        <v>16000</v>
      </c>
    </row>
    <row r="33" spans="1:16" x14ac:dyDescent="0.25">
      <c r="A33" s="5" t="s">
        <v>47</v>
      </c>
      <c r="B33" s="6"/>
      <c r="C33" s="6"/>
      <c r="D33" s="6"/>
      <c r="E33" s="6"/>
      <c r="F33" s="6"/>
      <c r="G33" s="6"/>
      <c r="H33" s="6"/>
      <c r="I33" s="6"/>
      <c r="J33" s="6"/>
      <c r="K33" s="6">
        <f>37000+13000</f>
        <v>50000</v>
      </c>
      <c r="L33" s="6"/>
      <c r="M33" s="6"/>
      <c r="N33" s="6"/>
      <c r="O33" s="6"/>
      <c r="P33" s="6">
        <f t="shared" si="2"/>
        <v>50000</v>
      </c>
    </row>
    <row r="34" spans="1:16" x14ac:dyDescent="0.25">
      <c r="A34" s="5" t="s">
        <v>48</v>
      </c>
      <c r="B34" s="6"/>
      <c r="C34" s="6"/>
      <c r="D34" s="6"/>
      <c r="E34" s="6"/>
      <c r="F34" s="6"/>
      <c r="G34" s="6"/>
      <c r="H34" s="6"/>
      <c r="I34" s="6"/>
      <c r="J34" s="6"/>
      <c r="K34" s="6">
        <f>30000+15000</f>
        <v>45000</v>
      </c>
      <c r="L34" s="6"/>
      <c r="M34" s="6"/>
      <c r="N34" s="6"/>
      <c r="O34" s="6"/>
      <c r="P34" s="6">
        <f t="shared" si="2"/>
        <v>45000</v>
      </c>
    </row>
    <row r="35" spans="1:16" x14ac:dyDescent="0.25">
      <c r="A35" s="5" t="s">
        <v>49</v>
      </c>
      <c r="B35" s="6"/>
      <c r="C35" s="6">
        <f>15000+20000-2000-5000-5000+5000</f>
        <v>28000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2"/>
        <v>28000</v>
      </c>
    </row>
    <row r="36" spans="1:16" x14ac:dyDescent="0.25">
      <c r="A36" s="5" t="s">
        <v>50</v>
      </c>
      <c r="B36" s="6"/>
      <c r="C36" s="6">
        <v>3000</v>
      </c>
      <c r="D36" s="6">
        <f>105000-24149-35000+34149</f>
        <v>80000</v>
      </c>
      <c r="E36" s="6">
        <v>0</v>
      </c>
      <c r="F36" s="6">
        <v>0</v>
      </c>
      <c r="G36" s="6"/>
      <c r="H36" s="6"/>
      <c r="I36" s="6"/>
      <c r="J36" s="6"/>
      <c r="K36" s="6"/>
      <c r="L36" s="6"/>
      <c r="M36" s="6"/>
      <c r="N36" s="6"/>
      <c r="O36" s="6"/>
      <c r="P36" s="6">
        <f t="shared" si="2"/>
        <v>83000</v>
      </c>
    </row>
    <row r="37" spans="1:16" x14ac:dyDescent="0.25">
      <c r="A37" s="5" t="s">
        <v>51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v>30000</v>
      </c>
      <c r="M37" s="6"/>
      <c r="N37" s="6"/>
      <c r="O37" s="6"/>
      <c r="P37" s="6">
        <f t="shared" si="2"/>
        <v>30000</v>
      </c>
    </row>
    <row r="38" spans="1:16" x14ac:dyDescent="0.25">
      <c r="A38" s="5" t="s">
        <v>52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v>70000</v>
      </c>
      <c r="M38" s="6"/>
      <c r="N38" s="6"/>
      <c r="O38" s="6"/>
      <c r="P38" s="6">
        <f t="shared" si="2"/>
        <v>70000</v>
      </c>
    </row>
    <row r="39" spans="1:16" x14ac:dyDescent="0.25">
      <c r="A39" s="5" t="s">
        <v>53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>70000+9732-9732</f>
        <v>70000</v>
      </c>
      <c r="M39" s="6"/>
      <c r="N39" s="6"/>
      <c r="O39" s="6"/>
      <c r="P39" s="6">
        <f t="shared" si="2"/>
        <v>70000</v>
      </c>
    </row>
    <row r="40" spans="1:16" x14ac:dyDescent="0.25">
      <c r="A40" s="5" t="s">
        <v>54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f>15000-9000</f>
        <v>6000</v>
      </c>
      <c r="M40" s="6"/>
      <c r="N40" s="6"/>
      <c r="O40" s="6"/>
      <c r="P40" s="6">
        <f>SUM(L40:O40)</f>
        <v>6000</v>
      </c>
    </row>
    <row r="41" spans="1:16" x14ac:dyDescent="0.25">
      <c r="A41" s="5" t="s">
        <v>55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f>3000-1500</f>
        <v>1500</v>
      </c>
      <c r="M41" s="6"/>
      <c r="N41" s="6"/>
      <c r="O41" s="6"/>
      <c r="P41" s="6">
        <f>B41+C41+D41+E41+F41+G41+H41+I41+K41+L41+M41+N41+O41</f>
        <v>1500</v>
      </c>
    </row>
    <row r="42" spans="1:16" x14ac:dyDescent="0.25">
      <c r="A42" s="5" t="s">
        <v>56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>
        <v>13000</v>
      </c>
      <c r="N42" s="6"/>
      <c r="O42" s="6">
        <v>0</v>
      </c>
      <c r="P42" s="6">
        <f>B42+C42+D42+E42+F42+G42+H42+I42+K42+L42+M42+N42+O42</f>
        <v>13000</v>
      </c>
    </row>
    <row r="43" spans="1:16" x14ac:dyDescent="0.25">
      <c r="A43" s="5" t="s">
        <v>57</v>
      </c>
      <c r="B43" s="6">
        <v>5000</v>
      </c>
      <c r="C43" s="6"/>
      <c r="D43" s="6">
        <v>4000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f>5000-211</f>
        <v>4789</v>
      </c>
      <c r="P43" s="6">
        <f>B43+C43+D43+E43+F43+G43+H43+I43+K43+L43+M43+N43+O43</f>
        <v>13789</v>
      </c>
    </row>
    <row r="44" spans="1:16" x14ac:dyDescent="0.25">
      <c r="A44" s="5" t="s">
        <v>58</v>
      </c>
      <c r="B44" s="6">
        <f>18000-18000</f>
        <v>0</v>
      </c>
      <c r="C44" s="6"/>
      <c r="D44" s="8"/>
      <c r="E44" s="6"/>
      <c r="F44" s="6"/>
      <c r="G44" s="6"/>
      <c r="H44" s="6"/>
      <c r="I44" s="6"/>
      <c r="J44" s="6"/>
      <c r="K44" s="6">
        <f>12000+4500+2000+3000</f>
        <v>21500</v>
      </c>
      <c r="L44" s="6">
        <v>0</v>
      </c>
      <c r="M44" s="6"/>
      <c r="N44" s="6">
        <v>2000</v>
      </c>
      <c r="O44" s="6"/>
      <c r="P44" s="6">
        <f>B44+C44+D44+E44+F44+G44+H44+I44+K44+L44+M44+N44+O44</f>
        <v>23500</v>
      </c>
    </row>
    <row r="45" spans="1:16" x14ac:dyDescent="0.25">
      <c r="A45" s="5" t="s">
        <v>59</v>
      </c>
      <c r="B45" s="6"/>
      <c r="C45" s="6">
        <v>20000</v>
      </c>
      <c r="D45" s="6">
        <v>4000</v>
      </c>
      <c r="E45" s="6"/>
      <c r="F45" s="6"/>
      <c r="G45" s="6"/>
      <c r="H45" s="6">
        <v>11000</v>
      </c>
      <c r="I45" s="6"/>
      <c r="J45" s="6"/>
      <c r="K45" s="6"/>
      <c r="L45" s="6"/>
      <c r="M45" s="6"/>
      <c r="N45" s="6"/>
      <c r="O45" s="6">
        <v>37000</v>
      </c>
      <c r="P45" s="6">
        <f>B45+C45+D45+E45+F45+H45+I45+K45+L45+M45+N45+O45</f>
        <v>72000</v>
      </c>
    </row>
    <row r="46" spans="1:16" x14ac:dyDescent="0.25">
      <c r="A46" s="5" t="s">
        <v>60</v>
      </c>
      <c r="B46" s="6">
        <f>25000+11868</f>
        <v>36868</v>
      </c>
      <c r="C46" s="6"/>
      <c r="D46" s="6"/>
      <c r="E46" s="6"/>
      <c r="F46" s="6"/>
      <c r="G46" s="6"/>
      <c r="H46" s="6"/>
      <c r="I46" s="6"/>
      <c r="J46" s="6"/>
      <c r="K46" s="6"/>
      <c r="L46" s="6" t="s">
        <v>61</v>
      </c>
      <c r="M46" s="6"/>
      <c r="N46" s="5"/>
      <c r="O46" s="5"/>
      <c r="P46" s="6">
        <f>B46+C46</f>
        <v>36868</v>
      </c>
    </row>
    <row r="47" spans="1:16" x14ac:dyDescent="0.25">
      <c r="A47" s="5" t="s">
        <v>62</v>
      </c>
      <c r="B47" s="6"/>
      <c r="C47" s="6"/>
      <c r="D47" s="6" t="s">
        <v>63</v>
      </c>
      <c r="E47" s="6"/>
      <c r="F47" s="6"/>
      <c r="G47" s="6"/>
      <c r="H47" s="6"/>
      <c r="I47" s="6"/>
      <c r="J47" s="6"/>
      <c r="K47" s="6"/>
      <c r="L47" s="6"/>
      <c r="M47" s="6">
        <f>240+590</f>
        <v>830</v>
      </c>
      <c r="N47" s="5"/>
      <c r="O47" s="5"/>
      <c r="P47" s="6">
        <v>830</v>
      </c>
    </row>
    <row r="48" spans="1:16" x14ac:dyDescent="0.25">
      <c r="A48" s="5" t="s">
        <v>64</v>
      </c>
      <c r="B48" s="6"/>
      <c r="C48" s="6"/>
      <c r="D48" s="6"/>
      <c r="E48" s="6"/>
      <c r="F48" s="6"/>
      <c r="G48" s="6"/>
      <c r="H48" s="6">
        <v>2000</v>
      </c>
      <c r="I48" s="6"/>
      <c r="J48" s="6"/>
      <c r="K48" s="6"/>
      <c r="L48" s="6">
        <v>2000</v>
      </c>
      <c r="M48" s="6"/>
      <c r="N48" s="5"/>
      <c r="O48" s="5"/>
      <c r="P48" s="6">
        <f>B48+C48+D48+E48+F48+G48+H48+I48+K48+L48+M48+N48+O48</f>
        <v>4000</v>
      </c>
    </row>
    <row r="49" spans="1:16" x14ac:dyDescent="0.25">
      <c r="A49" s="5" t="s">
        <v>65</v>
      </c>
      <c r="B49" s="6">
        <v>50000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5"/>
      <c r="O49" s="5"/>
      <c r="P49" s="6">
        <f>B49+C49+D49+E49+F49+G49+H49+I49+K49+L49+M49+N49+O49</f>
        <v>50000</v>
      </c>
    </row>
    <row r="50" spans="1:16" x14ac:dyDescent="0.25">
      <c r="A50" s="5" t="s">
        <v>66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5"/>
      <c r="O50" s="6">
        <v>4000</v>
      </c>
      <c r="P50" s="6">
        <f>B50+C50+D50+E50+F50+G50+H50+I50+K50+L50+M50+N50+O50</f>
        <v>4000</v>
      </c>
    </row>
    <row r="51" spans="1:16" x14ac:dyDescent="0.25">
      <c r="A51" s="9" t="s">
        <v>67</v>
      </c>
      <c r="B51" s="10">
        <f t="shared" ref="B51:N51" si="3">SUM(B3:B49)</f>
        <v>168868</v>
      </c>
      <c r="C51" s="10">
        <f t="shared" si="3"/>
        <v>134500</v>
      </c>
      <c r="D51" s="10">
        <f t="shared" si="3"/>
        <v>281192</v>
      </c>
      <c r="E51" s="10">
        <f t="shared" si="3"/>
        <v>10000</v>
      </c>
      <c r="F51" s="10">
        <f t="shared" si="3"/>
        <v>8000</v>
      </c>
      <c r="G51" s="8">
        <f t="shared" si="3"/>
        <v>0</v>
      </c>
      <c r="H51" s="10">
        <f t="shared" si="3"/>
        <v>17000</v>
      </c>
      <c r="I51" s="10">
        <f t="shared" si="3"/>
        <v>1000</v>
      </c>
      <c r="J51" s="10">
        <f>SUM(J3:J50)</f>
        <v>100000</v>
      </c>
      <c r="K51" s="10">
        <f t="shared" si="3"/>
        <v>317000</v>
      </c>
      <c r="L51" s="10">
        <f t="shared" si="3"/>
        <v>180000</v>
      </c>
      <c r="M51" s="10">
        <f t="shared" si="3"/>
        <v>14830</v>
      </c>
      <c r="N51" s="10">
        <f t="shared" si="3"/>
        <v>4500</v>
      </c>
      <c r="O51" s="10">
        <f>SUM(O3:O50)</f>
        <v>51789</v>
      </c>
      <c r="P51" s="10">
        <f>SUM(P3:P50)</f>
        <v>1288679</v>
      </c>
    </row>
    <row r="52" spans="1:16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5">
      <c r="A53" s="3" t="s">
        <v>68</v>
      </c>
      <c r="B53" s="13">
        <v>120000</v>
      </c>
      <c r="C53" s="13">
        <v>120000</v>
      </c>
      <c r="D53" s="13">
        <v>220000</v>
      </c>
      <c r="E53" s="13">
        <v>10000</v>
      </c>
      <c r="F53" s="13">
        <v>8000</v>
      </c>
      <c r="G53" s="13"/>
      <c r="H53" s="13">
        <v>10000</v>
      </c>
      <c r="I53" s="13">
        <v>1000</v>
      </c>
      <c r="J53" s="13">
        <v>70000</v>
      </c>
      <c r="K53" s="13">
        <v>150000</v>
      </c>
      <c r="L53" s="13">
        <v>55728</v>
      </c>
      <c r="M53" s="13">
        <v>10000</v>
      </c>
      <c r="N53" s="13">
        <v>4500</v>
      </c>
      <c r="O53" s="14">
        <v>51789</v>
      </c>
      <c r="P53" s="15">
        <f>B53+C53+D53+E53+F53+H53+I53+J53+K53+L53+M53+N53+O53</f>
        <v>831017</v>
      </c>
    </row>
    <row r="54" spans="1:16" x14ac:dyDescent="0.25">
      <c r="A54" s="3" t="s">
        <v>69</v>
      </c>
      <c r="B54" s="13">
        <v>30000</v>
      </c>
      <c r="C54" s="13">
        <v>14500</v>
      </c>
      <c r="D54" s="13">
        <v>61192</v>
      </c>
      <c r="E54" s="13"/>
      <c r="F54" s="13"/>
      <c r="G54" s="13"/>
      <c r="H54" s="13"/>
      <c r="I54" s="13"/>
      <c r="J54" s="13">
        <v>10000</v>
      </c>
      <c r="K54" s="13">
        <v>150000</v>
      </c>
      <c r="L54" s="13">
        <v>90341</v>
      </c>
      <c r="M54" s="13"/>
      <c r="N54" s="13"/>
      <c r="O54" s="14"/>
      <c r="P54" s="15">
        <f t="shared" ref="P54:P56" si="4">B54+C54+D54+E54+F54+H54+I54+J54+K54+L54+M54+N54+O54</f>
        <v>356033</v>
      </c>
    </row>
    <row r="55" spans="1:16" x14ac:dyDescent="0.25">
      <c r="A55" s="3" t="s">
        <v>70</v>
      </c>
      <c r="B55" s="13">
        <f>B51-B53-B54</f>
        <v>18868</v>
      </c>
      <c r="C55" s="13">
        <f>C51-C53-C54</f>
        <v>0</v>
      </c>
      <c r="D55" s="13">
        <f>D51-D53-D54</f>
        <v>0</v>
      </c>
      <c r="E55" s="13"/>
      <c r="F55" s="13"/>
      <c r="G55" s="13"/>
      <c r="H55" s="13">
        <v>7000</v>
      </c>
      <c r="I55" s="13"/>
      <c r="J55" s="13">
        <v>20000</v>
      </c>
      <c r="K55" s="13">
        <v>17000</v>
      </c>
      <c r="L55" s="13">
        <v>33931</v>
      </c>
      <c r="M55" s="13">
        <v>4830</v>
      </c>
      <c r="N55" s="13"/>
      <c r="O55" s="14"/>
      <c r="P55" s="15">
        <f t="shared" si="4"/>
        <v>101629</v>
      </c>
    </row>
    <row r="56" spans="1:16" x14ac:dyDescent="0.25">
      <c r="A56" s="3" t="s">
        <v>71</v>
      </c>
      <c r="B56" s="13">
        <f>SUM(B53:B55)</f>
        <v>168868</v>
      </c>
      <c r="C56" s="13">
        <f>SUM(C53:C55)</f>
        <v>134500</v>
      </c>
      <c r="D56" s="13">
        <f>D53+D54+D55</f>
        <v>281192</v>
      </c>
      <c r="E56" s="13">
        <f>SUM(E53:E55)</f>
        <v>10000</v>
      </c>
      <c r="F56" s="13">
        <f>SUM(F53:F55)</f>
        <v>8000</v>
      </c>
      <c r="G56" s="13"/>
      <c r="H56" s="13">
        <f t="shared" ref="H56:O56" si="5">SUM(H53:H55)</f>
        <v>17000</v>
      </c>
      <c r="I56" s="13">
        <f t="shared" si="5"/>
        <v>1000</v>
      </c>
      <c r="J56" s="13">
        <f t="shared" si="5"/>
        <v>100000</v>
      </c>
      <c r="K56" s="13">
        <f t="shared" si="5"/>
        <v>317000</v>
      </c>
      <c r="L56" s="13">
        <f t="shared" si="5"/>
        <v>180000</v>
      </c>
      <c r="M56" s="13">
        <f t="shared" si="5"/>
        <v>14830</v>
      </c>
      <c r="N56" s="13">
        <f t="shared" si="5"/>
        <v>4500</v>
      </c>
      <c r="O56" s="14">
        <f t="shared" si="5"/>
        <v>51789</v>
      </c>
      <c r="P56" s="15">
        <f t="shared" si="4"/>
        <v>1288679</v>
      </c>
    </row>
    <row r="57" spans="1:16" x14ac:dyDescent="0.25">
      <c r="D57" s="1">
        <v>296022</v>
      </c>
    </row>
    <row r="60" spans="1:16" x14ac:dyDescent="0.25">
      <c r="D60" s="16" t="s">
        <v>72</v>
      </c>
    </row>
    <row r="61" spans="1:16" ht="123.75" x14ac:dyDescent="0.25">
      <c r="A61" s="3" t="s">
        <v>1</v>
      </c>
      <c r="B61" s="4" t="s">
        <v>2</v>
      </c>
      <c r="C61" s="4" t="s">
        <v>3</v>
      </c>
      <c r="D61" s="4" t="s">
        <v>4</v>
      </c>
      <c r="E61" s="4" t="s">
        <v>5</v>
      </c>
      <c r="F61" s="4" t="s">
        <v>6</v>
      </c>
      <c r="G61" s="4" t="s">
        <v>7</v>
      </c>
      <c r="H61" s="4" t="s">
        <v>8</v>
      </c>
      <c r="I61" s="4" t="s">
        <v>9</v>
      </c>
      <c r="J61" s="4" t="s">
        <v>10</v>
      </c>
      <c r="K61" s="4" t="s">
        <v>11</v>
      </c>
      <c r="L61" s="4" t="s">
        <v>12</v>
      </c>
      <c r="M61" s="4" t="s">
        <v>13</v>
      </c>
      <c r="N61" s="4" t="s">
        <v>14</v>
      </c>
      <c r="O61" s="4" t="s">
        <v>15</v>
      </c>
      <c r="P61" s="4" t="s">
        <v>16</v>
      </c>
    </row>
    <row r="62" spans="1:16" x14ac:dyDescent="0.25">
      <c r="A62" s="5" t="s">
        <v>17</v>
      </c>
      <c r="B62" s="6">
        <v>12000</v>
      </c>
      <c r="C62" s="6">
        <v>2000</v>
      </c>
      <c r="D62" s="6">
        <v>2000</v>
      </c>
      <c r="E62" s="6">
        <v>0</v>
      </c>
      <c r="F62" s="6">
        <v>1000</v>
      </c>
      <c r="G62" s="6"/>
      <c r="H62" s="6">
        <v>3000</v>
      </c>
      <c r="I62" s="6">
        <v>1000</v>
      </c>
      <c r="J62" s="6"/>
      <c r="K62" s="6">
        <f>500-500</f>
        <v>0</v>
      </c>
      <c r="L62" s="6"/>
      <c r="M62" s="6">
        <v>1000</v>
      </c>
      <c r="N62" s="6"/>
      <c r="O62" s="6">
        <v>500</v>
      </c>
      <c r="P62" s="6">
        <f t="shared" ref="P62:P67" si="6">B62+C62+D62+E62+F62+G62+H62+I62+K62+L62+M62+N62+O62</f>
        <v>22500</v>
      </c>
    </row>
    <row r="63" spans="1:16" x14ac:dyDescent="0.25">
      <c r="A63" s="5" t="s">
        <v>18</v>
      </c>
      <c r="B63" s="6"/>
      <c r="C63" s="6">
        <v>20000</v>
      </c>
      <c r="D63" s="6">
        <v>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>
        <f t="shared" si="6"/>
        <v>20000</v>
      </c>
    </row>
    <row r="64" spans="1:16" x14ac:dyDescent="0.25">
      <c r="A64" s="5" t="s">
        <v>19</v>
      </c>
      <c r="B64" s="6"/>
      <c r="C64" s="6">
        <v>25000</v>
      </c>
      <c r="D64" s="6"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f t="shared" si="6"/>
        <v>25000</v>
      </c>
    </row>
    <row r="65" spans="1:16" x14ac:dyDescent="0.25">
      <c r="A65" s="5" t="s">
        <v>20</v>
      </c>
      <c r="B65" s="6"/>
      <c r="C65" s="6">
        <v>8000</v>
      </c>
      <c r="D65" s="6"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>
        <f t="shared" si="6"/>
        <v>8000</v>
      </c>
    </row>
    <row r="66" spans="1:16" x14ac:dyDescent="0.25">
      <c r="A66" s="5" t="s">
        <v>21</v>
      </c>
      <c r="B66" s="6"/>
      <c r="C66" s="6">
        <v>2000</v>
      </c>
      <c r="D66" s="6"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>
        <f t="shared" si="6"/>
        <v>2000</v>
      </c>
    </row>
    <row r="67" spans="1:16" x14ac:dyDescent="0.25">
      <c r="A67" s="5" t="s">
        <v>22</v>
      </c>
      <c r="B67" s="6"/>
      <c r="C67" s="6">
        <v>1000</v>
      </c>
      <c r="D67" s="6">
        <v>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>
        <f t="shared" si="6"/>
        <v>1000</v>
      </c>
    </row>
    <row r="68" spans="1:16" x14ac:dyDescent="0.25">
      <c r="A68" s="5" t="s">
        <v>23</v>
      </c>
      <c r="B68" s="6"/>
      <c r="C68" s="6">
        <v>2000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>
        <f>SUM(B68:O68)</f>
        <v>2000</v>
      </c>
    </row>
    <row r="69" spans="1:16" x14ac:dyDescent="0.25">
      <c r="A69" s="5" t="s">
        <v>24</v>
      </c>
      <c r="B69" s="6"/>
      <c r="C69" s="6">
        <v>5000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>
        <f>SUM(B69:O69)</f>
        <v>5000</v>
      </c>
    </row>
    <row r="70" spans="1:16" x14ac:dyDescent="0.25">
      <c r="A70" s="5" t="s">
        <v>25</v>
      </c>
      <c r="B70" s="6">
        <v>2000</v>
      </c>
      <c r="C70" s="6">
        <v>4000</v>
      </c>
      <c r="D70" s="6">
        <f>12000-1541</f>
        <v>10459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>
        <f t="shared" ref="P70:P79" si="7">B70+C70+D70+E70+F70+G70+H70+I70+K70+L70+M70+N70+O70</f>
        <v>16459</v>
      </c>
    </row>
    <row r="71" spans="1:16" x14ac:dyDescent="0.25">
      <c r="A71" s="5" t="s">
        <v>26</v>
      </c>
      <c r="B71" s="6">
        <f>9000-1000-3000</f>
        <v>5000</v>
      </c>
      <c r="C71" s="6">
        <v>500</v>
      </c>
      <c r="D71" s="6">
        <v>1000</v>
      </c>
      <c r="E71" s="6"/>
      <c r="F71" s="6"/>
      <c r="G71" s="6"/>
      <c r="H71" s="6"/>
      <c r="I71" s="6">
        <v>0</v>
      </c>
      <c r="J71" s="6"/>
      <c r="K71" s="6"/>
      <c r="L71" s="6"/>
      <c r="M71" s="6"/>
      <c r="N71" s="6"/>
      <c r="O71" s="6"/>
      <c r="P71" s="6">
        <f t="shared" si="7"/>
        <v>6500</v>
      </c>
    </row>
    <row r="72" spans="1:16" x14ac:dyDescent="0.25">
      <c r="A72" s="5" t="s">
        <v>27</v>
      </c>
      <c r="B72" s="6">
        <v>1000</v>
      </c>
      <c r="C72" s="6">
        <v>1000</v>
      </c>
      <c r="D72" s="6">
        <v>3000</v>
      </c>
      <c r="E72" s="6"/>
      <c r="F72" s="6"/>
      <c r="G72" s="6"/>
      <c r="H72" s="6"/>
      <c r="I72" s="6">
        <v>0</v>
      </c>
      <c r="J72" s="6"/>
      <c r="K72" s="6"/>
      <c r="L72" s="6"/>
      <c r="M72" s="6"/>
      <c r="N72" s="6"/>
      <c r="O72" s="6"/>
      <c r="P72" s="6">
        <f t="shared" si="7"/>
        <v>5000</v>
      </c>
    </row>
    <row r="73" spans="1:16" x14ac:dyDescent="0.25">
      <c r="A73" s="5" t="s">
        <v>28</v>
      </c>
      <c r="B73" s="6"/>
      <c r="C73" s="6">
        <v>8000</v>
      </c>
      <c r="D73" s="6"/>
      <c r="E73" s="6"/>
      <c r="F73" s="6"/>
      <c r="G73" s="6"/>
      <c r="H73" s="6"/>
      <c r="I73" s="6">
        <v>0</v>
      </c>
      <c r="J73" s="6"/>
      <c r="K73" s="6">
        <v>50000</v>
      </c>
      <c r="L73" s="6"/>
      <c r="M73" s="6"/>
      <c r="N73" s="6"/>
      <c r="O73" s="6"/>
      <c r="P73" s="6">
        <f t="shared" si="7"/>
        <v>58000</v>
      </c>
    </row>
    <row r="74" spans="1:16" x14ac:dyDescent="0.25">
      <c r="A74" s="5" t="s">
        <v>29</v>
      </c>
      <c r="B74" s="6"/>
      <c r="C74" s="6">
        <v>3000</v>
      </c>
      <c r="D74" s="6">
        <f>5000-2500</f>
        <v>2500</v>
      </c>
      <c r="E74" s="6"/>
      <c r="F74" s="6"/>
      <c r="G74" s="6"/>
      <c r="H74" s="6"/>
      <c r="I74" s="6">
        <v>0</v>
      </c>
      <c r="J74" s="6"/>
      <c r="K74" s="6">
        <v>2000</v>
      </c>
      <c r="L74" s="6"/>
      <c r="M74" s="6"/>
      <c r="N74" s="6"/>
      <c r="O74" s="6"/>
      <c r="P74" s="6">
        <f t="shared" si="7"/>
        <v>7500</v>
      </c>
    </row>
    <row r="75" spans="1:16" x14ac:dyDescent="0.25">
      <c r="A75" s="5" t="s">
        <v>30</v>
      </c>
      <c r="B75" s="6"/>
      <c r="C75" s="6">
        <v>1500</v>
      </c>
      <c r="D75" s="6">
        <v>0</v>
      </c>
      <c r="E75" s="6"/>
      <c r="F75" s="6"/>
      <c r="G75" s="6"/>
      <c r="H75" s="6">
        <v>0</v>
      </c>
      <c r="I75" s="6">
        <v>0</v>
      </c>
      <c r="J75" s="6"/>
      <c r="K75" s="6">
        <v>7000</v>
      </c>
      <c r="L75" s="6"/>
      <c r="M75" s="6"/>
      <c r="N75" s="6"/>
      <c r="O75" s="6"/>
      <c r="P75" s="6">
        <f t="shared" si="7"/>
        <v>8500</v>
      </c>
    </row>
    <row r="76" spans="1:16" x14ac:dyDescent="0.25">
      <c r="A76" s="5" t="s">
        <v>31</v>
      </c>
      <c r="B76" s="6"/>
      <c r="C76" s="6"/>
      <c r="D76" s="6"/>
      <c r="E76" s="6"/>
      <c r="F76" s="6"/>
      <c r="G76" s="6"/>
      <c r="H76" s="6"/>
      <c r="I76" s="6"/>
      <c r="J76" s="6"/>
      <c r="K76" s="6">
        <v>15000</v>
      </c>
      <c r="L76" s="6"/>
      <c r="M76" s="6"/>
      <c r="N76" s="6"/>
      <c r="O76" s="6"/>
      <c r="P76" s="6">
        <f t="shared" si="7"/>
        <v>15000</v>
      </c>
    </row>
    <row r="77" spans="1:16" x14ac:dyDescent="0.25">
      <c r="A77" s="5" t="s">
        <v>32</v>
      </c>
      <c r="B77" s="6"/>
      <c r="C77" s="6"/>
      <c r="D77" s="6"/>
      <c r="E77" s="6"/>
      <c r="F77" s="6"/>
      <c r="G77" s="6"/>
      <c r="H77" s="6"/>
      <c r="I77" s="6"/>
      <c r="J77" s="6"/>
      <c r="K77" s="6">
        <v>1500</v>
      </c>
      <c r="L77" s="6"/>
      <c r="M77" s="6"/>
      <c r="N77" s="6"/>
      <c r="O77" s="6"/>
      <c r="P77" s="6">
        <f t="shared" si="7"/>
        <v>1500</v>
      </c>
    </row>
    <row r="78" spans="1:16" x14ac:dyDescent="0.25">
      <c r="A78" s="5" t="s">
        <v>33</v>
      </c>
      <c r="B78" s="6"/>
      <c r="C78" s="6"/>
      <c r="D78" s="6"/>
      <c r="E78" s="6"/>
      <c r="F78" s="6"/>
      <c r="G78" s="6"/>
      <c r="H78" s="6"/>
      <c r="I78" s="6"/>
      <c r="J78" s="6"/>
      <c r="K78" s="6">
        <v>50000</v>
      </c>
      <c r="L78" s="6"/>
      <c r="M78" s="6"/>
      <c r="N78" s="6"/>
      <c r="O78" s="6"/>
      <c r="P78" s="6">
        <f t="shared" si="7"/>
        <v>50000</v>
      </c>
    </row>
    <row r="79" spans="1:16" x14ac:dyDescent="0.25">
      <c r="A79" s="5" t="s">
        <v>34</v>
      </c>
      <c r="B79" s="6"/>
      <c r="C79" s="6"/>
      <c r="D79" s="6"/>
      <c r="E79" s="6"/>
      <c r="F79" s="6"/>
      <c r="G79" s="6"/>
      <c r="H79" s="6"/>
      <c r="I79" s="6"/>
      <c r="J79" s="6"/>
      <c r="K79" s="6">
        <v>35000</v>
      </c>
      <c r="L79" s="6"/>
      <c r="M79" s="6"/>
      <c r="N79" s="6"/>
      <c r="O79" s="6"/>
      <c r="P79" s="6">
        <f t="shared" si="7"/>
        <v>35000</v>
      </c>
    </row>
    <row r="80" spans="1:16" x14ac:dyDescent="0.25">
      <c r="A80" s="5" t="s">
        <v>35</v>
      </c>
      <c r="B80" s="6"/>
      <c r="C80" s="6"/>
      <c r="D80" s="6"/>
      <c r="E80" s="6"/>
      <c r="F80" s="6"/>
      <c r="G80" s="6"/>
      <c r="H80" s="6"/>
      <c r="I80" s="6"/>
      <c r="J80" s="6">
        <v>100000</v>
      </c>
      <c r="K80" s="6"/>
      <c r="L80" s="6"/>
      <c r="M80" s="6"/>
      <c r="N80" s="6"/>
      <c r="O80" s="6"/>
      <c r="P80" s="6">
        <f>SUM(B80:O80)</f>
        <v>100000</v>
      </c>
    </row>
    <row r="81" spans="1:16" x14ac:dyDescent="0.25">
      <c r="A81" s="5" t="s">
        <v>36</v>
      </c>
      <c r="B81" s="6">
        <f>2000-2000</f>
        <v>0</v>
      </c>
      <c r="C81" s="6"/>
      <c r="D81" s="6"/>
      <c r="E81" s="6">
        <v>4000</v>
      </c>
      <c r="F81" s="6"/>
      <c r="G81" s="6"/>
      <c r="H81" s="6"/>
      <c r="I81" s="6">
        <v>0</v>
      </c>
      <c r="J81" s="6"/>
      <c r="K81" s="6"/>
      <c r="L81" s="6"/>
      <c r="M81" s="6"/>
      <c r="N81" s="6"/>
      <c r="O81" s="6"/>
      <c r="P81" s="6">
        <f>B81+C81+D81+E81+F81+G81+H81+I81+K81+L81+M81+N81+O81</f>
        <v>4000</v>
      </c>
    </row>
    <row r="82" spans="1:16" x14ac:dyDescent="0.25">
      <c r="A82" s="5" t="s">
        <v>37</v>
      </c>
      <c r="B82" s="6">
        <f>6000-1000-2500</f>
        <v>2500</v>
      </c>
      <c r="C82" s="6"/>
      <c r="D82" s="6">
        <v>0</v>
      </c>
      <c r="E82" s="6">
        <v>1000</v>
      </c>
      <c r="F82" s="6">
        <v>1000</v>
      </c>
      <c r="G82" s="6"/>
      <c r="H82" s="6">
        <v>0</v>
      </c>
      <c r="I82" s="6">
        <v>0</v>
      </c>
      <c r="J82" s="6"/>
      <c r="K82" s="6"/>
      <c r="L82" s="6"/>
      <c r="M82" s="6"/>
      <c r="N82" s="6">
        <v>1000</v>
      </c>
      <c r="O82" s="6"/>
      <c r="P82" s="6">
        <f>B82+C82+D82+E82+F82+G82+H82+I82+K82+L82+M82+N82+O82</f>
        <v>5500</v>
      </c>
    </row>
    <row r="83" spans="1:16" x14ac:dyDescent="0.25">
      <c r="A83" s="5" t="s">
        <v>38</v>
      </c>
      <c r="B83" s="6">
        <f>3000+1000-1000-1000</f>
        <v>2000</v>
      </c>
      <c r="C83" s="6"/>
      <c r="D83" s="6"/>
      <c r="E83" s="6"/>
      <c r="F83" s="6"/>
      <c r="G83" s="6"/>
      <c r="H83" s="6"/>
      <c r="I83" s="6"/>
      <c r="J83" s="6"/>
      <c r="K83" s="6"/>
      <c r="L83" s="6">
        <f>2000-1500</f>
        <v>500</v>
      </c>
      <c r="M83" s="6"/>
      <c r="N83" s="6">
        <v>1000</v>
      </c>
      <c r="O83" s="6"/>
      <c r="P83" s="6">
        <f>B83+C83+D83+E83+F83+G83+H83+I83+K83+L83+M83+N83+O83</f>
        <v>3500</v>
      </c>
    </row>
    <row r="84" spans="1:16" x14ac:dyDescent="0.25">
      <c r="A84" s="5" t="s">
        <v>39</v>
      </c>
      <c r="B84" s="6"/>
      <c r="C84" s="6"/>
      <c r="D84" s="6">
        <f>14591+24149</f>
        <v>38740</v>
      </c>
      <c r="E84" s="6">
        <f>2000+1000-3000</f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>
        <f>B84+C84+D84+E84+F84+G84+H84+I84+K84+L84+M84+N84+O84</f>
        <v>38740</v>
      </c>
    </row>
    <row r="85" spans="1:16" x14ac:dyDescent="0.25">
      <c r="A85" s="5" t="s">
        <v>40</v>
      </c>
      <c r="B85" s="6"/>
      <c r="C85" s="6"/>
      <c r="D85" s="6">
        <v>133993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>
        <f>SUM(B85:O85)</f>
        <v>133993</v>
      </c>
    </row>
    <row r="86" spans="1:16" x14ac:dyDescent="0.25">
      <c r="A86" s="5" t="s">
        <v>41</v>
      </c>
      <c r="B86" s="6">
        <v>5000</v>
      </c>
      <c r="C86" s="6"/>
      <c r="D86" s="6">
        <v>0</v>
      </c>
      <c r="E86" s="6">
        <v>4000</v>
      </c>
      <c r="F86" s="6">
        <v>4000</v>
      </c>
      <c r="G86" s="6"/>
      <c r="H86" s="6"/>
      <c r="I86" s="6">
        <v>0</v>
      </c>
      <c r="J86" s="6"/>
      <c r="K86" s="6"/>
      <c r="L86" s="6"/>
      <c r="M86" s="6"/>
      <c r="N86" s="6"/>
      <c r="O86" s="6"/>
      <c r="P86" s="6">
        <f>SUM(B86:O86)</f>
        <v>13000</v>
      </c>
    </row>
    <row r="87" spans="1:16" x14ac:dyDescent="0.25">
      <c r="A87" s="5" t="s">
        <v>42</v>
      </c>
      <c r="B87" s="6"/>
      <c r="C87" s="6"/>
      <c r="D87" s="6">
        <v>1500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>
        <v>2500</v>
      </c>
      <c r="P87" s="6">
        <f t="shared" ref="P87:P98" si="8">B87+C87+D87+E87+F87+G87+H87+I87+K87+L87+M87+N87+O87</f>
        <v>4000</v>
      </c>
    </row>
    <row r="88" spans="1:16" x14ac:dyDescent="0.25">
      <c r="A88" s="5" t="s">
        <v>43</v>
      </c>
      <c r="B88" s="6">
        <f>4500+1000</f>
        <v>5500</v>
      </c>
      <c r="C88" s="6">
        <v>500</v>
      </c>
      <c r="D88" s="6">
        <v>0</v>
      </c>
      <c r="E88" s="6">
        <v>1000</v>
      </c>
      <c r="F88" s="6">
        <v>2000</v>
      </c>
      <c r="G88" s="6"/>
      <c r="H88" s="6">
        <v>1000</v>
      </c>
      <c r="I88" s="6">
        <v>0</v>
      </c>
      <c r="J88" s="6"/>
      <c r="K88" s="6"/>
      <c r="L88" s="6"/>
      <c r="M88" s="6"/>
      <c r="N88" s="6">
        <v>500</v>
      </c>
      <c r="O88" s="6"/>
      <c r="P88" s="6">
        <f t="shared" si="8"/>
        <v>10500</v>
      </c>
    </row>
    <row r="89" spans="1:16" x14ac:dyDescent="0.25">
      <c r="A89" s="5" t="s">
        <v>44</v>
      </c>
      <c r="B89" s="6"/>
      <c r="C89" s="6"/>
      <c r="D89" s="6"/>
      <c r="E89" s="6"/>
      <c r="F89" s="6"/>
      <c r="G89" s="6"/>
      <c r="H89" s="6"/>
      <c r="I89" s="6"/>
      <c r="J89" s="6"/>
      <c r="K89" s="6">
        <v>55818</v>
      </c>
      <c r="L89" s="6"/>
      <c r="M89" s="6"/>
      <c r="N89" s="6"/>
      <c r="O89" s="6"/>
      <c r="P89" s="6">
        <f t="shared" si="8"/>
        <v>55818</v>
      </c>
    </row>
    <row r="90" spans="1:16" x14ac:dyDescent="0.25">
      <c r="A90" s="5" t="s">
        <v>45</v>
      </c>
      <c r="B90" s="6">
        <f>11000+15000</f>
        <v>26000</v>
      </c>
      <c r="C90" s="6"/>
      <c r="D90" s="6"/>
      <c r="E90" s="6">
        <v>0</v>
      </c>
      <c r="F90" s="6">
        <v>0</v>
      </c>
      <c r="G90" s="6"/>
      <c r="H90" s="6">
        <f>3000-3000</f>
        <v>0</v>
      </c>
      <c r="I90" s="6">
        <v>0</v>
      </c>
      <c r="J90" s="6"/>
      <c r="K90" s="6"/>
      <c r="L90" s="6"/>
      <c r="M90" s="6"/>
      <c r="N90" s="6"/>
      <c r="O90" s="6">
        <v>3000</v>
      </c>
      <c r="P90" s="6">
        <f t="shared" si="8"/>
        <v>29000</v>
      </c>
    </row>
    <row r="91" spans="1:16" x14ac:dyDescent="0.25">
      <c r="A91" s="5" t="s">
        <v>46</v>
      </c>
      <c r="B91" s="6">
        <v>16000</v>
      </c>
      <c r="C91" s="6"/>
      <c r="D91" s="6">
        <v>0</v>
      </c>
      <c r="E91" s="6"/>
      <c r="F91" s="6">
        <v>0</v>
      </c>
      <c r="G91" s="6"/>
      <c r="H91" s="6"/>
      <c r="I91" s="6">
        <v>0</v>
      </c>
      <c r="J91" s="6"/>
      <c r="K91" s="6"/>
      <c r="L91" s="6"/>
      <c r="M91" s="6"/>
      <c r="N91" s="6"/>
      <c r="O91" s="6"/>
      <c r="P91" s="6">
        <f t="shared" si="8"/>
        <v>16000</v>
      </c>
    </row>
    <row r="92" spans="1:16" x14ac:dyDescent="0.25">
      <c r="A92" s="5" t="s">
        <v>47</v>
      </c>
      <c r="B92" s="6"/>
      <c r="C92" s="6"/>
      <c r="D92" s="6"/>
      <c r="E92" s="6"/>
      <c r="F92" s="6"/>
      <c r="G92" s="6"/>
      <c r="H92" s="6"/>
      <c r="I92" s="6"/>
      <c r="J92" s="6"/>
      <c r="K92" s="6">
        <f>37000+13000</f>
        <v>50000</v>
      </c>
      <c r="L92" s="6"/>
      <c r="M92" s="6"/>
      <c r="N92" s="6"/>
      <c r="O92" s="6"/>
      <c r="P92" s="6">
        <f t="shared" si="8"/>
        <v>50000</v>
      </c>
    </row>
    <row r="93" spans="1:16" x14ac:dyDescent="0.25">
      <c r="A93" s="5" t="s">
        <v>48</v>
      </c>
      <c r="B93" s="6"/>
      <c r="C93" s="6"/>
      <c r="D93" s="6"/>
      <c r="E93" s="6"/>
      <c r="F93" s="6"/>
      <c r="G93" s="6"/>
      <c r="H93" s="6"/>
      <c r="I93" s="6"/>
      <c r="J93" s="6"/>
      <c r="K93" s="6">
        <f>30000+15000</f>
        <v>45000</v>
      </c>
      <c r="L93" s="6"/>
      <c r="M93" s="6"/>
      <c r="N93" s="6"/>
      <c r="O93" s="6"/>
      <c r="P93" s="6">
        <f t="shared" si="8"/>
        <v>45000</v>
      </c>
    </row>
    <row r="94" spans="1:16" x14ac:dyDescent="0.25">
      <c r="A94" s="5" t="s">
        <v>49</v>
      </c>
      <c r="B94" s="6"/>
      <c r="C94" s="6">
        <f>15000+20000-2000-5000-5000+5000</f>
        <v>28000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8"/>
        <v>28000</v>
      </c>
    </row>
    <row r="95" spans="1:16" x14ac:dyDescent="0.25">
      <c r="A95" s="5" t="s">
        <v>50</v>
      </c>
      <c r="B95" s="6"/>
      <c r="C95" s="6">
        <v>3000</v>
      </c>
      <c r="D95" s="6">
        <f>105000-24149-35000+34149</f>
        <v>80000</v>
      </c>
      <c r="E95" s="6">
        <v>0</v>
      </c>
      <c r="F95" s="6">
        <v>0</v>
      </c>
      <c r="G95" s="6"/>
      <c r="H95" s="6"/>
      <c r="I95" s="6"/>
      <c r="J95" s="6"/>
      <c r="K95" s="6"/>
      <c r="L95" s="6"/>
      <c r="M95" s="6"/>
      <c r="N95" s="6"/>
      <c r="O95" s="6"/>
      <c r="P95" s="6">
        <f t="shared" si="8"/>
        <v>83000</v>
      </c>
    </row>
    <row r="96" spans="1:16" x14ac:dyDescent="0.25">
      <c r="A96" s="5" t="s">
        <v>51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v>45000</v>
      </c>
      <c r="M96" s="6"/>
      <c r="N96" s="6"/>
      <c r="O96" s="6"/>
      <c r="P96" s="6">
        <f t="shared" si="8"/>
        <v>45000</v>
      </c>
    </row>
    <row r="97" spans="1:16" x14ac:dyDescent="0.25">
      <c r="A97" s="5" t="s">
        <v>52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v>70000</v>
      </c>
      <c r="M97" s="6"/>
      <c r="N97" s="6"/>
      <c r="O97" s="6"/>
      <c r="P97" s="6">
        <f t="shared" si="8"/>
        <v>70000</v>
      </c>
    </row>
    <row r="98" spans="1:16" x14ac:dyDescent="0.25">
      <c r="A98" s="5" t="s">
        <v>53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>
        <f>70000+9732-9732</f>
        <v>70000</v>
      </c>
      <c r="M98" s="6"/>
      <c r="N98" s="6"/>
      <c r="O98" s="6"/>
      <c r="P98" s="6">
        <f t="shared" si="8"/>
        <v>70000</v>
      </c>
    </row>
    <row r="99" spans="1:16" x14ac:dyDescent="0.25">
      <c r="A99" s="5" t="s">
        <v>54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>
        <f>15000-9000</f>
        <v>6000</v>
      </c>
      <c r="M99" s="6"/>
      <c r="N99" s="6"/>
      <c r="O99" s="6"/>
      <c r="P99" s="6">
        <f>SUM(L99:O99)</f>
        <v>6000</v>
      </c>
    </row>
    <row r="100" spans="1:16" x14ac:dyDescent="0.25">
      <c r="A100" s="5" t="s">
        <v>55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>
        <f>3000-1500</f>
        <v>1500</v>
      </c>
      <c r="M100" s="6"/>
      <c r="N100" s="6"/>
      <c r="O100" s="6"/>
      <c r="P100" s="6">
        <f>B100+C100+D100+E100+F100+G100+H100+I100+K100+L100+M100+N100+O100</f>
        <v>1500</v>
      </c>
    </row>
    <row r="101" spans="1:16" x14ac:dyDescent="0.25">
      <c r="A101" s="5" t="s">
        <v>56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>
        <v>13000</v>
      </c>
      <c r="N101" s="6"/>
      <c r="O101" s="6">
        <v>0</v>
      </c>
      <c r="P101" s="6">
        <f>B101+C101+D101+E101+F101+G101+H101+I101+K101+L101+M101+N101+O101</f>
        <v>13000</v>
      </c>
    </row>
    <row r="102" spans="1:16" x14ac:dyDescent="0.25">
      <c r="A102" s="5" t="s">
        <v>57</v>
      </c>
      <c r="B102" s="6">
        <v>7000</v>
      </c>
      <c r="C102" s="6"/>
      <c r="D102" s="6">
        <v>4000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>
        <f>5000-211</f>
        <v>4789</v>
      </c>
      <c r="P102" s="6">
        <f>B102+C102+D102+E102+F102+G102+H102+I102+K102+L102+M102+N102+O102</f>
        <v>15789</v>
      </c>
    </row>
    <row r="103" spans="1:16" x14ac:dyDescent="0.25">
      <c r="A103" s="5" t="s">
        <v>58</v>
      </c>
      <c r="B103" s="6">
        <f>18000-18000</f>
        <v>0</v>
      </c>
      <c r="C103" s="6"/>
      <c r="D103" s="8"/>
      <c r="E103" s="6"/>
      <c r="F103" s="6"/>
      <c r="G103" s="6"/>
      <c r="H103" s="6"/>
      <c r="I103" s="6"/>
      <c r="J103" s="6"/>
      <c r="K103" s="6">
        <f>12000+4500+2000+3000</f>
        <v>21500</v>
      </c>
      <c r="L103" s="6">
        <v>0</v>
      </c>
      <c r="M103" s="6"/>
      <c r="N103" s="6">
        <v>2000</v>
      </c>
      <c r="O103" s="6"/>
      <c r="P103" s="6">
        <f>B103+C103+D103+E103+F103+G103+H103+I103+K103+L103+M103+N103+O103</f>
        <v>23500</v>
      </c>
    </row>
    <row r="104" spans="1:16" x14ac:dyDescent="0.25">
      <c r="A104" s="5" t="s">
        <v>73</v>
      </c>
      <c r="B104" s="6"/>
      <c r="C104" s="6">
        <v>20000</v>
      </c>
      <c r="D104" s="6">
        <v>4000</v>
      </c>
      <c r="E104" s="6"/>
      <c r="F104" s="6"/>
      <c r="G104" s="6"/>
      <c r="H104" s="6">
        <v>11000</v>
      </c>
      <c r="I104" s="6"/>
      <c r="J104" s="6"/>
      <c r="K104" s="6"/>
      <c r="L104" s="6"/>
      <c r="M104" s="6"/>
      <c r="N104" s="6"/>
      <c r="O104" s="6">
        <v>37000</v>
      </c>
      <c r="P104" s="6">
        <f>B104+C104+D104+E104+F104+H104+I104+K104+L104+M104+N104+O104</f>
        <v>72000</v>
      </c>
    </row>
    <row r="105" spans="1:16" x14ac:dyDescent="0.25">
      <c r="A105" s="5" t="s">
        <v>60</v>
      </c>
      <c r="B105" s="6">
        <f>25000+11868</f>
        <v>36868</v>
      </c>
      <c r="C105" s="6"/>
      <c r="D105" s="6"/>
      <c r="E105" s="6"/>
      <c r="F105" s="6"/>
      <c r="G105" s="6"/>
      <c r="H105" s="6"/>
      <c r="I105" s="6"/>
      <c r="J105" s="6"/>
      <c r="K105" s="6"/>
      <c r="L105" s="6" t="s">
        <v>61</v>
      </c>
      <c r="M105" s="6"/>
      <c r="N105" s="5"/>
      <c r="O105" s="5"/>
      <c r="P105" s="6">
        <f>B105+C105</f>
        <v>36868</v>
      </c>
    </row>
    <row r="106" spans="1:16" x14ac:dyDescent="0.25">
      <c r="A106" s="5" t="s">
        <v>62</v>
      </c>
      <c r="B106" s="6"/>
      <c r="C106" s="6"/>
      <c r="D106" s="6" t="s">
        <v>63</v>
      </c>
      <c r="E106" s="6"/>
      <c r="F106" s="6"/>
      <c r="G106" s="6"/>
      <c r="H106" s="6"/>
      <c r="I106" s="6"/>
      <c r="J106" s="6"/>
      <c r="K106" s="6"/>
      <c r="L106" s="6"/>
      <c r="M106" s="6">
        <f>240+590</f>
        <v>830</v>
      </c>
      <c r="N106" s="5"/>
      <c r="O106" s="5"/>
      <c r="P106" s="6">
        <v>830</v>
      </c>
    </row>
    <row r="107" spans="1:16" x14ac:dyDescent="0.25">
      <c r="A107" s="5" t="s">
        <v>64</v>
      </c>
      <c r="B107" s="6"/>
      <c r="C107" s="6"/>
      <c r="D107" s="6"/>
      <c r="E107" s="6"/>
      <c r="F107" s="6"/>
      <c r="G107" s="6"/>
      <c r="H107" s="6">
        <v>2000</v>
      </c>
      <c r="I107" s="6"/>
      <c r="J107" s="6"/>
      <c r="K107" s="6"/>
      <c r="L107" s="6">
        <v>2000</v>
      </c>
      <c r="M107" s="6"/>
      <c r="N107" s="5"/>
      <c r="O107" s="5"/>
      <c r="P107" s="6">
        <f>B107+C107+D107+E107+F107+G107+H107+I107+K107+L107+M107+N107+O107</f>
        <v>4000</v>
      </c>
    </row>
    <row r="108" spans="1:16" x14ac:dyDescent="0.25">
      <c r="A108" s="5" t="s">
        <v>65</v>
      </c>
      <c r="B108" s="6">
        <v>60000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5"/>
      <c r="O108" s="5"/>
      <c r="P108" s="6">
        <f>B108+C108+D108+E108+F108+G108+H108+I108+K108+L108+M108+N108+O108</f>
        <v>60000</v>
      </c>
    </row>
    <row r="109" spans="1:16" x14ac:dyDescent="0.25">
      <c r="A109" s="5" t="s">
        <v>66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5"/>
      <c r="O109" s="6">
        <v>4000</v>
      </c>
      <c r="P109" s="6">
        <f>B109+C109+D109+E109+F109+G109+H109+I109+K109+L109+M109+N109+O109</f>
        <v>4000</v>
      </c>
    </row>
    <row r="110" spans="1:16" x14ac:dyDescent="0.25">
      <c r="A110" s="9" t="s">
        <v>67</v>
      </c>
      <c r="B110" s="8">
        <f t="shared" ref="B110:I110" si="9">SUM(B62:B108)</f>
        <v>180868</v>
      </c>
      <c r="C110" s="8">
        <f t="shared" si="9"/>
        <v>134500</v>
      </c>
      <c r="D110" s="8">
        <f t="shared" si="9"/>
        <v>281192</v>
      </c>
      <c r="E110" s="8">
        <f t="shared" si="9"/>
        <v>10000</v>
      </c>
      <c r="F110" s="8">
        <f t="shared" si="9"/>
        <v>8000</v>
      </c>
      <c r="G110" s="8">
        <f t="shared" si="9"/>
        <v>0</v>
      </c>
      <c r="H110" s="8">
        <f t="shared" si="9"/>
        <v>17000</v>
      </c>
      <c r="I110" s="8">
        <f t="shared" si="9"/>
        <v>1000</v>
      </c>
      <c r="J110" s="8">
        <f>SUM(J62:J109)</f>
        <v>100000</v>
      </c>
      <c r="K110" s="8">
        <f t="shared" ref="K110:N110" si="10">SUM(K62:K108)</f>
        <v>332818</v>
      </c>
      <c r="L110" s="8">
        <f t="shared" si="10"/>
        <v>195000</v>
      </c>
      <c r="M110" s="8">
        <f t="shared" si="10"/>
        <v>14830</v>
      </c>
      <c r="N110" s="8">
        <f t="shared" si="10"/>
        <v>4500</v>
      </c>
      <c r="O110" s="8">
        <f>SUM(O62:O109)</f>
        <v>51789</v>
      </c>
      <c r="P110" s="8">
        <f>SUM(P62:P109)</f>
        <v>1331497</v>
      </c>
    </row>
    <row r="111" spans="1:16" x14ac:dyDescent="0.25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25">
      <c r="A112" s="3" t="s">
        <v>68</v>
      </c>
      <c r="B112" s="13">
        <v>120000</v>
      </c>
      <c r="C112" s="13">
        <v>120000</v>
      </c>
      <c r="D112" s="13">
        <v>220000</v>
      </c>
      <c r="E112" s="13">
        <v>10000</v>
      </c>
      <c r="F112" s="13">
        <v>8000</v>
      </c>
      <c r="G112" s="13"/>
      <c r="H112" s="13">
        <v>10000</v>
      </c>
      <c r="I112" s="13">
        <v>1000</v>
      </c>
      <c r="J112" s="13">
        <v>70000</v>
      </c>
      <c r="K112" s="13">
        <f>150000+15818</f>
        <v>165818</v>
      </c>
      <c r="L112" s="13">
        <f>55728+15000</f>
        <v>70728</v>
      </c>
      <c r="M112" s="13">
        <v>10000</v>
      </c>
      <c r="N112" s="13">
        <v>4500</v>
      </c>
      <c r="O112" s="14">
        <v>51789</v>
      </c>
      <c r="P112" s="15">
        <f>B112+C112+D112+E112+F112+H112+I112+J112+K112+L112+M112+N112+O112</f>
        <v>861835</v>
      </c>
    </row>
    <row r="113" spans="1:16" x14ac:dyDescent="0.25">
      <c r="A113" s="3" t="s">
        <v>69</v>
      </c>
      <c r="B113" s="13">
        <v>30000</v>
      </c>
      <c r="C113" s="13">
        <v>14500</v>
      </c>
      <c r="D113" s="13">
        <v>61192</v>
      </c>
      <c r="E113" s="13"/>
      <c r="F113" s="13"/>
      <c r="G113" s="13"/>
      <c r="H113" s="13"/>
      <c r="I113" s="13"/>
      <c r="J113" s="13">
        <v>10000</v>
      </c>
      <c r="K113" s="13">
        <v>150000</v>
      </c>
      <c r="L113" s="13">
        <v>90341</v>
      </c>
      <c r="M113" s="13"/>
      <c r="N113" s="13"/>
      <c r="O113" s="14"/>
      <c r="P113" s="15">
        <f t="shared" ref="P113:P115" si="11">B113+C113+D113+E113+F113+H113+I113+J113+K113+L113+M113+N113+O113</f>
        <v>356033</v>
      </c>
    </row>
    <row r="114" spans="1:16" x14ac:dyDescent="0.25">
      <c r="A114" s="3" t="s">
        <v>70</v>
      </c>
      <c r="B114" s="13">
        <f>B110-B112-B113</f>
        <v>30868</v>
      </c>
      <c r="C114" s="13">
        <f>C110-C112-C113</f>
        <v>0</v>
      </c>
      <c r="D114" s="13">
        <f>D110-D112-D113</f>
        <v>0</v>
      </c>
      <c r="E114" s="13"/>
      <c r="F114" s="13"/>
      <c r="G114" s="13"/>
      <c r="H114" s="13">
        <v>7000</v>
      </c>
      <c r="I114" s="13"/>
      <c r="J114" s="13">
        <v>20000</v>
      </c>
      <c r="K114" s="13">
        <v>17000</v>
      </c>
      <c r="L114" s="13">
        <v>33931</v>
      </c>
      <c r="M114" s="13">
        <v>4830</v>
      </c>
      <c r="N114" s="13"/>
      <c r="O114" s="14"/>
      <c r="P114" s="15">
        <f t="shared" si="11"/>
        <v>113629</v>
      </c>
    </row>
    <row r="115" spans="1:16" x14ac:dyDescent="0.25">
      <c r="A115" s="3" t="s">
        <v>71</v>
      </c>
      <c r="B115" s="13">
        <f>SUM(B112:B114)</f>
        <v>180868</v>
      </c>
      <c r="C115" s="13">
        <f>SUM(C112:C114)</f>
        <v>134500</v>
      </c>
      <c r="D115" s="13">
        <f>D112+D113+D114</f>
        <v>281192</v>
      </c>
      <c r="E115" s="13">
        <f>SUM(E112:E114)</f>
        <v>10000</v>
      </c>
      <c r="F115" s="13">
        <f>SUM(F112:F114)</f>
        <v>8000</v>
      </c>
      <c r="G115" s="13"/>
      <c r="H115" s="13">
        <f t="shared" ref="H115:O115" si="12">SUM(H112:H114)</f>
        <v>17000</v>
      </c>
      <c r="I115" s="13">
        <f t="shared" si="12"/>
        <v>1000</v>
      </c>
      <c r="J115" s="13">
        <f t="shared" si="12"/>
        <v>100000</v>
      </c>
      <c r="K115" s="13">
        <f t="shared" si="12"/>
        <v>332818</v>
      </c>
      <c r="L115" s="13">
        <f t="shared" si="12"/>
        <v>195000</v>
      </c>
      <c r="M115" s="13">
        <f t="shared" si="12"/>
        <v>14830</v>
      </c>
      <c r="N115" s="13">
        <f t="shared" si="12"/>
        <v>4500</v>
      </c>
      <c r="O115" s="14">
        <f t="shared" si="12"/>
        <v>51789</v>
      </c>
      <c r="P115" s="15">
        <f t="shared" si="11"/>
        <v>1331497</v>
      </c>
    </row>
    <row r="118" spans="1:16" x14ac:dyDescent="0.25">
      <c r="C118" s="16" t="s">
        <v>74</v>
      </c>
    </row>
    <row r="119" spans="1:16" ht="123.75" x14ac:dyDescent="0.25">
      <c r="A119" s="3" t="s">
        <v>1</v>
      </c>
      <c r="B119" s="4" t="s">
        <v>2</v>
      </c>
      <c r="C119" s="4" t="s">
        <v>3</v>
      </c>
      <c r="D119" s="4" t="s">
        <v>4</v>
      </c>
      <c r="E119" s="4" t="s">
        <v>5</v>
      </c>
      <c r="F119" s="4" t="s">
        <v>6</v>
      </c>
      <c r="G119" s="4" t="s">
        <v>7</v>
      </c>
      <c r="H119" s="4" t="s">
        <v>8</v>
      </c>
      <c r="I119" s="4" t="s">
        <v>9</v>
      </c>
      <c r="J119" s="4" t="s">
        <v>10</v>
      </c>
      <c r="K119" s="4" t="s">
        <v>11</v>
      </c>
      <c r="L119" s="4" t="s">
        <v>12</v>
      </c>
      <c r="M119" s="4" t="s">
        <v>13</v>
      </c>
      <c r="N119" s="4" t="s">
        <v>14</v>
      </c>
      <c r="O119" s="4" t="s">
        <v>15</v>
      </c>
      <c r="P119" s="4" t="s">
        <v>16</v>
      </c>
    </row>
    <row r="120" spans="1:16" x14ac:dyDescent="0.25">
      <c r="A120" s="5" t="s">
        <v>17</v>
      </c>
      <c r="B120" s="6">
        <v>12000</v>
      </c>
      <c r="C120" s="6">
        <v>2000</v>
      </c>
      <c r="D120" s="6">
        <v>2000</v>
      </c>
      <c r="E120" s="6">
        <v>0</v>
      </c>
      <c r="F120" s="6">
        <v>1000</v>
      </c>
      <c r="G120" s="6"/>
      <c r="H120" s="6">
        <v>3000</v>
      </c>
      <c r="I120" s="6">
        <v>1000</v>
      </c>
      <c r="J120" s="6"/>
      <c r="K120" s="6">
        <f>500-500</f>
        <v>0</v>
      </c>
      <c r="L120" s="6"/>
      <c r="M120" s="6">
        <v>1000</v>
      </c>
      <c r="N120" s="6"/>
      <c r="O120" s="6">
        <v>500</v>
      </c>
      <c r="P120" s="6">
        <f t="shared" ref="P120:P125" si="13">B120+C120+D120+E120+F120+G120+H120+I120+K120+L120+M120+N120+O120</f>
        <v>22500</v>
      </c>
    </row>
    <row r="121" spans="1:16" x14ac:dyDescent="0.25">
      <c r="A121" s="5" t="s">
        <v>18</v>
      </c>
      <c r="B121" s="6"/>
      <c r="C121" s="6">
        <v>20000</v>
      </c>
      <c r="D121" s="6">
        <v>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13"/>
        <v>20000</v>
      </c>
    </row>
    <row r="122" spans="1:16" x14ac:dyDescent="0.25">
      <c r="A122" s="5" t="s">
        <v>19</v>
      </c>
      <c r="B122" s="6"/>
      <c r="C122" s="6">
        <v>25000</v>
      </c>
      <c r="D122" s="6">
        <v>0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13"/>
        <v>25000</v>
      </c>
    </row>
    <row r="123" spans="1:16" x14ac:dyDescent="0.25">
      <c r="A123" s="5" t="s">
        <v>20</v>
      </c>
      <c r="B123" s="6"/>
      <c r="C123" s="6">
        <v>8000</v>
      </c>
      <c r="D123" s="6">
        <v>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>
        <f t="shared" si="13"/>
        <v>8000</v>
      </c>
    </row>
    <row r="124" spans="1:16" x14ac:dyDescent="0.25">
      <c r="A124" s="5" t="s">
        <v>21</v>
      </c>
      <c r="B124" s="6"/>
      <c r="C124" s="6">
        <v>2000</v>
      </c>
      <c r="D124" s="6">
        <v>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13"/>
        <v>2000</v>
      </c>
    </row>
    <row r="125" spans="1:16" x14ac:dyDescent="0.25">
      <c r="A125" s="5" t="s">
        <v>22</v>
      </c>
      <c r="B125" s="6"/>
      <c r="C125" s="6">
        <v>1000</v>
      </c>
      <c r="D125" s="6">
        <v>0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13"/>
        <v>1000</v>
      </c>
    </row>
    <row r="126" spans="1:16" x14ac:dyDescent="0.25">
      <c r="A126" s="5" t="s">
        <v>23</v>
      </c>
      <c r="B126" s="6"/>
      <c r="C126" s="6">
        <v>2000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>SUM(B126:O126)</f>
        <v>2000</v>
      </c>
    </row>
    <row r="127" spans="1:16" x14ac:dyDescent="0.25">
      <c r="A127" s="5" t="s">
        <v>24</v>
      </c>
      <c r="B127" s="6"/>
      <c r="C127" s="6">
        <v>5000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>SUM(B127:O127)</f>
        <v>5000</v>
      </c>
    </row>
    <row r="128" spans="1:16" x14ac:dyDescent="0.25">
      <c r="A128" s="5" t="s">
        <v>25</v>
      </c>
      <c r="B128" s="6">
        <v>2000</v>
      </c>
      <c r="C128" s="6">
        <v>4000</v>
      </c>
      <c r="D128" s="6">
        <f>12000-1541</f>
        <v>10459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ref="P128:P137" si="14">B128+C128+D128+E128+F128+G128+H128+I128+K128+L128+M128+N128+O128</f>
        <v>16459</v>
      </c>
    </row>
    <row r="129" spans="1:16" x14ac:dyDescent="0.25">
      <c r="A129" s="5" t="s">
        <v>26</v>
      </c>
      <c r="B129" s="6">
        <f>9000-1000-3000</f>
        <v>5000</v>
      </c>
      <c r="C129" s="6">
        <v>500</v>
      </c>
      <c r="D129" s="6">
        <v>1000</v>
      </c>
      <c r="E129" s="6"/>
      <c r="F129" s="6"/>
      <c r="G129" s="6"/>
      <c r="H129" s="6"/>
      <c r="I129" s="6">
        <v>0</v>
      </c>
      <c r="J129" s="6"/>
      <c r="K129" s="6"/>
      <c r="L129" s="6"/>
      <c r="M129" s="6"/>
      <c r="N129" s="6"/>
      <c r="O129" s="6"/>
      <c r="P129" s="6">
        <f t="shared" si="14"/>
        <v>6500</v>
      </c>
    </row>
    <row r="130" spans="1:16" x14ac:dyDescent="0.25">
      <c r="A130" s="5" t="s">
        <v>27</v>
      </c>
      <c r="B130" s="6">
        <v>1000</v>
      </c>
      <c r="C130" s="6">
        <v>1000</v>
      </c>
      <c r="D130" s="6">
        <v>3000</v>
      </c>
      <c r="E130" s="6"/>
      <c r="F130" s="6"/>
      <c r="G130" s="6"/>
      <c r="H130" s="6"/>
      <c r="I130" s="6">
        <v>0</v>
      </c>
      <c r="J130" s="6"/>
      <c r="K130" s="6"/>
      <c r="L130" s="6"/>
      <c r="M130" s="6"/>
      <c r="N130" s="6"/>
      <c r="O130" s="6"/>
      <c r="P130" s="6">
        <f t="shared" si="14"/>
        <v>5000</v>
      </c>
    </row>
    <row r="131" spans="1:16" x14ac:dyDescent="0.25">
      <c r="A131" s="5" t="s">
        <v>28</v>
      </c>
      <c r="B131" s="6"/>
      <c r="C131" s="6">
        <v>8000</v>
      </c>
      <c r="D131" s="6"/>
      <c r="E131" s="6"/>
      <c r="F131" s="6"/>
      <c r="G131" s="6"/>
      <c r="H131" s="6"/>
      <c r="I131" s="6">
        <v>0</v>
      </c>
      <c r="J131" s="6"/>
      <c r="K131" s="6">
        <v>50000</v>
      </c>
      <c r="L131" s="6"/>
      <c r="M131" s="6"/>
      <c r="N131" s="6"/>
      <c r="O131" s="6"/>
      <c r="P131" s="6">
        <f t="shared" si="14"/>
        <v>58000</v>
      </c>
    </row>
    <row r="132" spans="1:16" x14ac:dyDescent="0.25">
      <c r="A132" s="5" t="s">
        <v>29</v>
      </c>
      <c r="B132" s="6"/>
      <c r="C132" s="6">
        <v>3000</v>
      </c>
      <c r="D132" s="6">
        <f>5000-2500</f>
        <v>2500</v>
      </c>
      <c r="E132" s="6"/>
      <c r="F132" s="6"/>
      <c r="G132" s="6"/>
      <c r="H132" s="6"/>
      <c r="I132" s="6">
        <v>0</v>
      </c>
      <c r="J132" s="6"/>
      <c r="K132" s="6">
        <v>2000</v>
      </c>
      <c r="L132" s="6"/>
      <c r="M132" s="6"/>
      <c r="N132" s="6"/>
      <c r="O132" s="6"/>
      <c r="P132" s="6">
        <f t="shared" si="14"/>
        <v>7500</v>
      </c>
    </row>
    <row r="133" spans="1:16" x14ac:dyDescent="0.25">
      <c r="A133" s="5" t="s">
        <v>30</v>
      </c>
      <c r="B133" s="6"/>
      <c r="C133" s="6">
        <v>1500</v>
      </c>
      <c r="D133" s="6">
        <v>0</v>
      </c>
      <c r="E133" s="6"/>
      <c r="F133" s="6"/>
      <c r="G133" s="6"/>
      <c r="H133" s="6">
        <v>0</v>
      </c>
      <c r="I133" s="6">
        <v>0</v>
      </c>
      <c r="J133" s="6"/>
      <c r="K133" s="6">
        <v>7000</v>
      </c>
      <c r="L133" s="6"/>
      <c r="M133" s="6"/>
      <c r="N133" s="6"/>
      <c r="O133" s="6"/>
      <c r="P133" s="6">
        <f t="shared" si="14"/>
        <v>8500</v>
      </c>
    </row>
    <row r="134" spans="1:16" x14ac:dyDescent="0.25">
      <c r="A134" s="5" t="s">
        <v>31</v>
      </c>
      <c r="B134" s="6"/>
      <c r="C134" s="6"/>
      <c r="D134" s="6"/>
      <c r="E134" s="6"/>
      <c r="F134" s="6"/>
      <c r="G134" s="6"/>
      <c r="H134" s="6"/>
      <c r="I134" s="6"/>
      <c r="J134" s="6"/>
      <c r="K134" s="6">
        <v>15000</v>
      </c>
      <c r="L134" s="6"/>
      <c r="M134" s="6"/>
      <c r="N134" s="6"/>
      <c r="O134" s="6"/>
      <c r="P134" s="6">
        <f t="shared" si="14"/>
        <v>15000</v>
      </c>
    </row>
    <row r="135" spans="1:16" x14ac:dyDescent="0.25">
      <c r="A135" s="5" t="s">
        <v>32</v>
      </c>
      <c r="B135" s="6"/>
      <c r="C135" s="6"/>
      <c r="D135" s="6"/>
      <c r="E135" s="6"/>
      <c r="F135" s="6"/>
      <c r="G135" s="6"/>
      <c r="H135" s="6"/>
      <c r="I135" s="6"/>
      <c r="J135" s="6"/>
      <c r="K135" s="6">
        <v>1500</v>
      </c>
      <c r="L135" s="6"/>
      <c r="M135" s="6"/>
      <c r="N135" s="6"/>
      <c r="O135" s="6"/>
      <c r="P135" s="6">
        <f t="shared" si="14"/>
        <v>1500</v>
      </c>
    </row>
    <row r="136" spans="1:16" x14ac:dyDescent="0.25">
      <c r="A136" s="5" t="s">
        <v>33</v>
      </c>
      <c r="B136" s="6"/>
      <c r="C136" s="6"/>
      <c r="D136" s="6"/>
      <c r="E136" s="6"/>
      <c r="F136" s="6"/>
      <c r="G136" s="6"/>
      <c r="H136" s="6"/>
      <c r="I136" s="6"/>
      <c r="J136" s="6"/>
      <c r="K136" s="6">
        <v>50000</v>
      </c>
      <c r="L136" s="6"/>
      <c r="M136" s="6"/>
      <c r="N136" s="6"/>
      <c r="O136" s="6"/>
      <c r="P136" s="6">
        <f t="shared" si="14"/>
        <v>50000</v>
      </c>
    </row>
    <row r="137" spans="1:16" x14ac:dyDescent="0.25">
      <c r="A137" s="5" t="s">
        <v>34</v>
      </c>
      <c r="B137" s="6"/>
      <c r="C137" s="6"/>
      <c r="D137" s="6"/>
      <c r="E137" s="6"/>
      <c r="F137" s="6"/>
      <c r="G137" s="6"/>
      <c r="H137" s="6"/>
      <c r="I137" s="6"/>
      <c r="J137" s="6"/>
      <c r="K137" s="6">
        <v>35000</v>
      </c>
      <c r="L137" s="6"/>
      <c r="M137" s="6"/>
      <c r="N137" s="6"/>
      <c r="O137" s="6"/>
      <c r="P137" s="6">
        <f t="shared" si="14"/>
        <v>35000</v>
      </c>
    </row>
    <row r="138" spans="1:16" x14ac:dyDescent="0.25">
      <c r="A138" s="5" t="s">
        <v>35</v>
      </c>
      <c r="B138" s="6"/>
      <c r="C138" s="6"/>
      <c r="D138" s="6"/>
      <c r="E138" s="6"/>
      <c r="F138" s="6"/>
      <c r="G138" s="6"/>
      <c r="H138" s="6"/>
      <c r="I138" s="6"/>
      <c r="J138" s="6">
        <v>100000</v>
      </c>
      <c r="K138" s="6"/>
      <c r="L138" s="6"/>
      <c r="M138" s="6"/>
      <c r="N138" s="6"/>
      <c r="O138" s="6"/>
      <c r="P138" s="6">
        <f>SUM(B138:O138)</f>
        <v>100000</v>
      </c>
    </row>
    <row r="139" spans="1:16" x14ac:dyDescent="0.25">
      <c r="A139" s="5" t="s">
        <v>36</v>
      </c>
      <c r="B139" s="6">
        <f>2000-2000</f>
        <v>0</v>
      </c>
      <c r="C139" s="6"/>
      <c r="D139" s="6"/>
      <c r="E139" s="6">
        <v>4000</v>
      </c>
      <c r="F139" s="6"/>
      <c r="G139" s="6"/>
      <c r="H139" s="6"/>
      <c r="I139" s="6">
        <v>0</v>
      </c>
      <c r="J139" s="6"/>
      <c r="K139" s="6"/>
      <c r="L139" s="6"/>
      <c r="M139" s="6"/>
      <c r="N139" s="6"/>
      <c r="O139" s="6"/>
      <c r="P139" s="6">
        <f>B139+C139+D139+E139+F139+G139+H139+I139+K139+L139+M139+N139+O139</f>
        <v>4000</v>
      </c>
    </row>
    <row r="140" spans="1:16" x14ac:dyDescent="0.25">
      <c r="A140" s="5" t="s">
        <v>37</v>
      </c>
      <c r="B140" s="6">
        <f>6000-1000-2500</f>
        <v>2500</v>
      </c>
      <c r="C140" s="6"/>
      <c r="D140" s="6">
        <v>0</v>
      </c>
      <c r="E140" s="6">
        <v>1000</v>
      </c>
      <c r="F140" s="6">
        <v>1000</v>
      </c>
      <c r="G140" s="6"/>
      <c r="H140" s="6">
        <v>0</v>
      </c>
      <c r="I140" s="6">
        <v>0</v>
      </c>
      <c r="J140" s="6"/>
      <c r="K140" s="6"/>
      <c r="L140" s="6"/>
      <c r="M140" s="6"/>
      <c r="N140" s="6">
        <v>1000</v>
      </c>
      <c r="O140" s="6"/>
      <c r="P140" s="6">
        <f>B140+C140+D140+E140+F140+G140+H140+I140+K140+L140+M140+N140+O140</f>
        <v>5500</v>
      </c>
    </row>
    <row r="141" spans="1:16" x14ac:dyDescent="0.25">
      <c r="A141" s="5" t="s">
        <v>38</v>
      </c>
      <c r="B141" s="6">
        <f>3000+1000-1000-1000</f>
        <v>2000</v>
      </c>
      <c r="C141" s="6"/>
      <c r="D141" s="6"/>
      <c r="E141" s="6"/>
      <c r="F141" s="6"/>
      <c r="G141" s="6"/>
      <c r="H141" s="6"/>
      <c r="I141" s="6"/>
      <c r="J141" s="6"/>
      <c r="K141" s="6"/>
      <c r="L141" s="6">
        <f>2000-1500</f>
        <v>500</v>
      </c>
      <c r="M141" s="6"/>
      <c r="N141" s="6">
        <v>1000</v>
      </c>
      <c r="O141" s="6"/>
      <c r="P141" s="6">
        <f>B141+C141+D141+E141+F141+G141+H141+I141+K141+L141+M141+N141+O141</f>
        <v>3500</v>
      </c>
    </row>
    <row r="142" spans="1:16" x14ac:dyDescent="0.25">
      <c r="A142" s="5" t="s">
        <v>39</v>
      </c>
      <c r="B142" s="6"/>
      <c r="C142" s="6"/>
      <c r="D142" s="6">
        <f>14591+24149</f>
        <v>38740</v>
      </c>
      <c r="E142" s="6">
        <f>2000+1000-3000</f>
        <v>0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>B142+C142+D142+E142+F142+G142+H142+I142+K142+L142+M142+N142+O142</f>
        <v>38740</v>
      </c>
    </row>
    <row r="143" spans="1:16" x14ac:dyDescent="0.25">
      <c r="A143" s="5" t="s">
        <v>40</v>
      </c>
      <c r="B143" s="6"/>
      <c r="C143" s="6"/>
      <c r="D143" s="6">
        <v>133993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>SUM(B143:O143)</f>
        <v>133993</v>
      </c>
    </row>
    <row r="144" spans="1:16" x14ac:dyDescent="0.25">
      <c r="A144" s="5" t="s">
        <v>41</v>
      </c>
      <c r="B144" s="6">
        <v>5000</v>
      </c>
      <c r="C144" s="6"/>
      <c r="D144" s="6">
        <v>0</v>
      </c>
      <c r="E144" s="6">
        <v>4000</v>
      </c>
      <c r="F144" s="6">
        <v>4000</v>
      </c>
      <c r="G144" s="6"/>
      <c r="H144" s="6"/>
      <c r="I144" s="6">
        <v>0</v>
      </c>
      <c r="J144" s="6"/>
      <c r="K144" s="6"/>
      <c r="L144" s="6"/>
      <c r="M144" s="6"/>
      <c r="N144" s="6"/>
      <c r="O144" s="6"/>
      <c r="P144" s="6">
        <f>SUM(B144:O144)</f>
        <v>13000</v>
      </c>
    </row>
    <row r="145" spans="1:16" x14ac:dyDescent="0.25">
      <c r="A145" s="5" t="s">
        <v>42</v>
      </c>
      <c r="B145" s="6"/>
      <c r="C145" s="6"/>
      <c r="D145" s="6">
        <v>1500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>
        <v>2500</v>
      </c>
      <c r="P145" s="6">
        <f t="shared" ref="P145:P156" si="15">B145+C145+D145+E145+F145+G145+H145+I145+K145+L145+M145+N145+O145</f>
        <v>4000</v>
      </c>
    </row>
    <row r="146" spans="1:16" x14ac:dyDescent="0.25">
      <c r="A146" s="5" t="s">
        <v>43</v>
      </c>
      <c r="B146" s="6">
        <f>4500+1000</f>
        <v>5500</v>
      </c>
      <c r="C146" s="6">
        <v>500</v>
      </c>
      <c r="D146" s="6">
        <v>0</v>
      </c>
      <c r="E146" s="6">
        <v>1000</v>
      </c>
      <c r="F146" s="6">
        <v>2000</v>
      </c>
      <c r="G146" s="6"/>
      <c r="H146" s="6">
        <v>1000</v>
      </c>
      <c r="I146" s="6">
        <v>0</v>
      </c>
      <c r="J146" s="6"/>
      <c r="K146" s="6"/>
      <c r="L146" s="6"/>
      <c r="M146" s="6"/>
      <c r="N146" s="6">
        <v>500</v>
      </c>
      <c r="O146" s="6"/>
      <c r="P146" s="6">
        <f t="shared" si="15"/>
        <v>10500</v>
      </c>
    </row>
    <row r="147" spans="1:16" x14ac:dyDescent="0.25">
      <c r="A147" s="5" t="s">
        <v>44</v>
      </c>
      <c r="B147" s="6"/>
      <c r="C147" s="6"/>
      <c r="D147" s="6"/>
      <c r="E147" s="6"/>
      <c r="F147" s="6"/>
      <c r="G147" s="6"/>
      <c r="H147" s="6"/>
      <c r="I147" s="6"/>
      <c r="J147" s="6"/>
      <c r="K147" s="6">
        <v>55818</v>
      </c>
      <c r="L147" s="6"/>
      <c r="M147" s="6"/>
      <c r="N147" s="6"/>
      <c r="O147" s="6"/>
      <c r="P147" s="6">
        <f t="shared" si="15"/>
        <v>55818</v>
      </c>
    </row>
    <row r="148" spans="1:16" x14ac:dyDescent="0.25">
      <c r="A148" s="5" t="s">
        <v>45</v>
      </c>
      <c r="B148" s="6">
        <f>11000+15000</f>
        <v>26000</v>
      </c>
      <c r="C148" s="6"/>
      <c r="D148" s="6"/>
      <c r="E148" s="6">
        <v>0</v>
      </c>
      <c r="F148" s="6">
        <v>0</v>
      </c>
      <c r="G148" s="6"/>
      <c r="H148" s="6">
        <f>3000-3000</f>
        <v>0</v>
      </c>
      <c r="I148" s="6">
        <v>0</v>
      </c>
      <c r="J148" s="6"/>
      <c r="K148" s="6"/>
      <c r="L148" s="6"/>
      <c r="M148" s="6"/>
      <c r="N148" s="6"/>
      <c r="O148" s="6">
        <v>3000</v>
      </c>
      <c r="P148" s="6">
        <f t="shared" si="15"/>
        <v>29000</v>
      </c>
    </row>
    <row r="149" spans="1:16" x14ac:dyDescent="0.25">
      <c r="A149" s="5" t="s">
        <v>46</v>
      </c>
      <c r="B149" s="6">
        <v>16000</v>
      </c>
      <c r="C149" s="6"/>
      <c r="D149" s="6">
        <v>0</v>
      </c>
      <c r="E149" s="6"/>
      <c r="F149" s="6">
        <v>0</v>
      </c>
      <c r="G149" s="6"/>
      <c r="H149" s="6"/>
      <c r="I149" s="6">
        <v>0</v>
      </c>
      <c r="J149" s="6"/>
      <c r="K149" s="6"/>
      <c r="L149" s="6"/>
      <c r="M149" s="6"/>
      <c r="N149" s="6"/>
      <c r="O149" s="6"/>
      <c r="P149" s="6">
        <f t="shared" si="15"/>
        <v>16000</v>
      </c>
    </row>
    <row r="150" spans="1:16" x14ac:dyDescent="0.25">
      <c r="A150" s="5" t="s">
        <v>47</v>
      </c>
      <c r="B150" s="6"/>
      <c r="C150" s="6"/>
      <c r="D150" s="6"/>
      <c r="E150" s="6"/>
      <c r="F150" s="6"/>
      <c r="G150" s="6"/>
      <c r="H150" s="6"/>
      <c r="I150" s="6"/>
      <c r="J150" s="6"/>
      <c r="K150" s="6">
        <f>37000+13000</f>
        <v>50000</v>
      </c>
      <c r="L150" s="6"/>
      <c r="M150" s="6"/>
      <c r="N150" s="6"/>
      <c r="O150" s="6"/>
      <c r="P150" s="6">
        <f t="shared" si="15"/>
        <v>50000</v>
      </c>
    </row>
    <row r="151" spans="1:16" x14ac:dyDescent="0.25">
      <c r="A151" s="5" t="s">
        <v>48</v>
      </c>
      <c r="B151" s="6"/>
      <c r="C151" s="6"/>
      <c r="D151" s="6"/>
      <c r="E151" s="6"/>
      <c r="F151" s="6"/>
      <c r="G151" s="6"/>
      <c r="H151" s="6"/>
      <c r="I151" s="6"/>
      <c r="J151" s="6"/>
      <c r="K151" s="6">
        <f>30000+15000</f>
        <v>45000</v>
      </c>
      <c r="L151" s="6"/>
      <c r="M151" s="6"/>
      <c r="N151" s="6"/>
      <c r="O151" s="6"/>
      <c r="P151" s="6">
        <f t="shared" si="15"/>
        <v>45000</v>
      </c>
    </row>
    <row r="152" spans="1:16" x14ac:dyDescent="0.25">
      <c r="A152" s="5" t="s">
        <v>49</v>
      </c>
      <c r="B152" s="6"/>
      <c r="C152" s="6">
        <f>15000+20000-2000-5000-5000+5000</f>
        <v>28000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15"/>
        <v>28000</v>
      </c>
    </row>
    <row r="153" spans="1:16" x14ac:dyDescent="0.25">
      <c r="A153" s="5" t="s">
        <v>50</v>
      </c>
      <c r="B153" s="6"/>
      <c r="C153" s="6">
        <v>3000</v>
      </c>
      <c r="D153" s="6">
        <f>105000-24149-35000+34149</f>
        <v>80000</v>
      </c>
      <c r="E153" s="6">
        <v>0</v>
      </c>
      <c r="F153" s="6">
        <v>0</v>
      </c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15"/>
        <v>83000</v>
      </c>
    </row>
    <row r="154" spans="1:16" x14ac:dyDescent="0.25">
      <c r="A154" s="5" t="s">
        <v>51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>
        <v>45000</v>
      </c>
      <c r="M154" s="6"/>
      <c r="N154" s="6"/>
      <c r="O154" s="6"/>
      <c r="P154" s="6">
        <f t="shared" si="15"/>
        <v>45000</v>
      </c>
    </row>
    <row r="155" spans="1:16" x14ac:dyDescent="0.25">
      <c r="A155" s="5" t="s">
        <v>52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>
        <v>70000</v>
      </c>
      <c r="M155" s="6"/>
      <c r="N155" s="6"/>
      <c r="O155" s="6"/>
      <c r="P155" s="6">
        <f t="shared" si="15"/>
        <v>70000</v>
      </c>
    </row>
    <row r="156" spans="1:16" x14ac:dyDescent="0.25">
      <c r="A156" s="5" t="s">
        <v>53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>
        <f>70000+9732-9732+16113</f>
        <v>86113</v>
      </c>
      <c r="M156" s="6"/>
      <c r="N156" s="6"/>
      <c r="O156" s="6"/>
      <c r="P156" s="6">
        <f t="shared" si="15"/>
        <v>86113</v>
      </c>
    </row>
    <row r="157" spans="1:16" x14ac:dyDescent="0.25">
      <c r="A157" s="5" t="s">
        <v>54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>
        <f>15000-9000</f>
        <v>6000</v>
      </c>
      <c r="M157" s="6"/>
      <c r="N157" s="6"/>
      <c r="O157" s="6"/>
      <c r="P157" s="6">
        <f>SUM(L157:O157)</f>
        <v>6000</v>
      </c>
    </row>
    <row r="158" spans="1:16" x14ac:dyDescent="0.25">
      <c r="A158" s="5" t="s">
        <v>55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>
        <f>3000-1500</f>
        <v>1500</v>
      </c>
      <c r="M158" s="6"/>
      <c r="N158" s="6"/>
      <c r="O158" s="6"/>
      <c r="P158" s="6">
        <f>B158+C158+D158+E158+F158+G158+H158+I158+K158+L158+M158+N158+O158</f>
        <v>1500</v>
      </c>
    </row>
    <row r="159" spans="1:16" x14ac:dyDescent="0.25">
      <c r="A159" s="5" t="s">
        <v>56</v>
      </c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>
        <v>13000</v>
      </c>
      <c r="N159" s="6"/>
      <c r="O159" s="6">
        <v>0</v>
      </c>
      <c r="P159" s="6">
        <f>B159+C159+D159+E159+F159+G159+H159+I159+K159+L159+M159+N159+O159</f>
        <v>13000</v>
      </c>
    </row>
    <row r="160" spans="1:16" x14ac:dyDescent="0.25">
      <c r="A160" s="5" t="s">
        <v>57</v>
      </c>
      <c r="B160" s="6">
        <v>7000</v>
      </c>
      <c r="C160" s="6"/>
      <c r="D160" s="6">
        <v>4000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>
        <f>5000-211</f>
        <v>4789</v>
      </c>
      <c r="P160" s="6">
        <f>B160+C160+D160+E160+F160+G160+H160+I160+K160+L160+M160+N160+O160</f>
        <v>15789</v>
      </c>
    </row>
    <row r="161" spans="1:16" x14ac:dyDescent="0.25">
      <c r="A161" s="5" t="s">
        <v>58</v>
      </c>
      <c r="B161" s="6">
        <f>18000-18000</f>
        <v>0</v>
      </c>
      <c r="C161" s="6"/>
      <c r="D161" s="8"/>
      <c r="E161" s="6"/>
      <c r="F161" s="6"/>
      <c r="G161" s="6"/>
      <c r="H161" s="6"/>
      <c r="I161" s="6"/>
      <c r="J161" s="6"/>
      <c r="K161" s="6">
        <f>12000+4500+2000+3000</f>
        <v>21500</v>
      </c>
      <c r="L161" s="6">
        <v>0</v>
      </c>
      <c r="M161" s="6"/>
      <c r="N161" s="6">
        <v>2000</v>
      </c>
      <c r="O161" s="6"/>
      <c r="P161" s="6">
        <f>B161+C161+D161+E161+F161+G161+H161+I161+K161+L161+M161+N161+O161</f>
        <v>23500</v>
      </c>
    </row>
    <row r="162" spans="1:16" x14ac:dyDescent="0.25">
      <c r="A162" s="5" t="s">
        <v>73</v>
      </c>
      <c r="B162" s="6"/>
      <c r="C162" s="6">
        <v>20000</v>
      </c>
      <c r="D162" s="6">
        <v>4000</v>
      </c>
      <c r="E162" s="6"/>
      <c r="F162" s="6"/>
      <c r="G162" s="6"/>
      <c r="H162" s="6">
        <v>11000</v>
      </c>
      <c r="I162" s="6"/>
      <c r="J162" s="6"/>
      <c r="K162" s="6"/>
      <c r="L162" s="6"/>
      <c r="M162" s="6"/>
      <c r="N162" s="6"/>
      <c r="O162" s="6">
        <v>37000</v>
      </c>
      <c r="P162" s="6">
        <f>B162+C162+D162+E162+F162+H162+I162+K162+L162+M162+N162+O162</f>
        <v>72000</v>
      </c>
    </row>
    <row r="163" spans="1:16" x14ac:dyDescent="0.25">
      <c r="A163" s="5" t="s">
        <v>60</v>
      </c>
      <c r="B163" s="6">
        <f>25000+11868</f>
        <v>36868</v>
      </c>
      <c r="C163" s="6"/>
      <c r="D163" s="6"/>
      <c r="E163" s="6"/>
      <c r="F163" s="6"/>
      <c r="G163" s="6"/>
      <c r="H163" s="6"/>
      <c r="I163" s="6"/>
      <c r="J163" s="6"/>
      <c r="K163" s="6"/>
      <c r="L163" s="6" t="s">
        <v>61</v>
      </c>
      <c r="M163" s="6"/>
      <c r="N163" s="5"/>
      <c r="O163" s="5"/>
      <c r="P163" s="6">
        <f>B163+C163</f>
        <v>36868</v>
      </c>
    </row>
    <row r="164" spans="1:16" x14ac:dyDescent="0.25">
      <c r="A164" s="5" t="s">
        <v>62</v>
      </c>
      <c r="B164" s="6"/>
      <c r="C164" s="6"/>
      <c r="D164" s="6" t="s">
        <v>63</v>
      </c>
      <c r="E164" s="6"/>
      <c r="F164" s="6"/>
      <c r="G164" s="6"/>
      <c r="H164" s="6"/>
      <c r="I164" s="6"/>
      <c r="J164" s="6"/>
      <c r="K164" s="6"/>
      <c r="L164" s="6"/>
      <c r="M164" s="6">
        <f>240+590</f>
        <v>830</v>
      </c>
      <c r="N164" s="5"/>
      <c r="O164" s="5"/>
      <c r="P164" s="6">
        <v>830</v>
      </c>
    </row>
    <row r="165" spans="1:16" x14ac:dyDescent="0.25">
      <c r="A165" s="5" t="s">
        <v>64</v>
      </c>
      <c r="B165" s="6"/>
      <c r="C165" s="6"/>
      <c r="D165" s="6"/>
      <c r="E165" s="6"/>
      <c r="F165" s="6"/>
      <c r="G165" s="6"/>
      <c r="H165" s="6">
        <v>2000</v>
      </c>
      <c r="I165" s="6"/>
      <c r="J165" s="6"/>
      <c r="K165" s="6"/>
      <c r="L165" s="6">
        <v>2000</v>
      </c>
      <c r="M165" s="6"/>
      <c r="N165" s="5"/>
      <c r="O165" s="5"/>
      <c r="P165" s="6">
        <f>B165+C165+D165+E165+F165+G165+H165+I165+K165+L165+M165+N165+O165</f>
        <v>4000</v>
      </c>
    </row>
    <row r="166" spans="1:16" x14ac:dyDescent="0.25">
      <c r="A166" s="5" t="s">
        <v>65</v>
      </c>
      <c r="B166" s="6">
        <v>60000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5"/>
      <c r="O166" s="5"/>
      <c r="P166" s="6">
        <f>B166+C166+D166+E166+F166+G166+H166+I166+K166+L166+M166+N166+O166</f>
        <v>60000</v>
      </c>
    </row>
    <row r="167" spans="1:16" x14ac:dyDescent="0.25">
      <c r="A167" s="5" t="s">
        <v>66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5"/>
      <c r="O167" s="6">
        <v>4000</v>
      </c>
      <c r="P167" s="6">
        <f>B167+C167+D167+E167+F167+G167+H167+I167+K167+L167+M167+N167+O167</f>
        <v>4000</v>
      </c>
    </row>
    <row r="168" spans="1:16" x14ac:dyDescent="0.25">
      <c r="A168" s="9" t="s">
        <v>67</v>
      </c>
      <c r="B168" s="8">
        <f t="shared" ref="B168:I168" si="16">SUM(B120:B166)</f>
        <v>180868</v>
      </c>
      <c r="C168" s="8">
        <f t="shared" si="16"/>
        <v>134500</v>
      </c>
      <c r="D168" s="8">
        <f t="shared" si="16"/>
        <v>281192</v>
      </c>
      <c r="E168" s="8">
        <f t="shared" si="16"/>
        <v>10000</v>
      </c>
      <c r="F168" s="8">
        <f t="shared" si="16"/>
        <v>8000</v>
      </c>
      <c r="G168" s="8">
        <f t="shared" si="16"/>
        <v>0</v>
      </c>
      <c r="H168" s="8">
        <f t="shared" si="16"/>
        <v>17000</v>
      </c>
      <c r="I168" s="8">
        <f t="shared" si="16"/>
        <v>1000</v>
      </c>
      <c r="J168" s="8">
        <f>SUM(J120:J167)</f>
        <v>100000</v>
      </c>
      <c r="K168" s="8">
        <f t="shared" ref="K168:N168" si="17">SUM(K120:K166)</f>
        <v>332818</v>
      </c>
      <c r="L168" s="8">
        <f t="shared" si="17"/>
        <v>211113</v>
      </c>
      <c r="M168" s="8">
        <f t="shared" si="17"/>
        <v>14830</v>
      </c>
      <c r="N168" s="8">
        <f t="shared" si="17"/>
        <v>4500</v>
      </c>
      <c r="O168" s="8">
        <f>SUM(O120:O167)</f>
        <v>51789</v>
      </c>
      <c r="P168" s="8">
        <f>SUM(P120:P167)</f>
        <v>1347610</v>
      </c>
    </row>
    <row r="169" spans="1:16" x14ac:dyDescent="0.25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25">
      <c r="A170" s="3" t="s">
        <v>68</v>
      </c>
      <c r="B170" s="13">
        <v>120000</v>
      </c>
      <c r="C170" s="13">
        <v>120000</v>
      </c>
      <c r="D170" s="13">
        <v>220000</v>
      </c>
      <c r="E170" s="13">
        <v>10000</v>
      </c>
      <c r="F170" s="13">
        <v>8000</v>
      </c>
      <c r="G170" s="13"/>
      <c r="H170" s="13">
        <v>10000</v>
      </c>
      <c r="I170" s="13">
        <v>1000</v>
      </c>
      <c r="J170" s="13">
        <v>70000</v>
      </c>
      <c r="K170" s="13">
        <f>150000+15818</f>
        <v>165818</v>
      </c>
      <c r="L170" s="13">
        <f>55728+15000+16113</f>
        <v>86841</v>
      </c>
      <c r="M170" s="13">
        <v>10000</v>
      </c>
      <c r="N170" s="13">
        <v>4500</v>
      </c>
      <c r="O170" s="14">
        <v>51789</v>
      </c>
      <c r="P170" s="17">
        <f>B170+C170+D170+E170+F170+H170+I170+J170+K170+L170+M170+N170+O170</f>
        <v>877948</v>
      </c>
    </row>
    <row r="171" spans="1:16" x14ac:dyDescent="0.25">
      <c r="A171" s="3" t="s">
        <v>69</v>
      </c>
      <c r="B171" s="13">
        <v>30000</v>
      </c>
      <c r="C171" s="13">
        <v>14500</v>
      </c>
      <c r="D171" s="13">
        <v>61192</v>
      </c>
      <c r="E171" s="13"/>
      <c r="F171" s="13"/>
      <c r="G171" s="13"/>
      <c r="H171" s="13"/>
      <c r="I171" s="13"/>
      <c r="J171" s="13">
        <v>10000</v>
      </c>
      <c r="K171" s="13">
        <v>150000</v>
      </c>
      <c r="L171" s="13">
        <v>90341</v>
      </c>
      <c r="M171" s="13"/>
      <c r="N171" s="13"/>
      <c r="O171" s="14"/>
      <c r="P171" s="17">
        <f t="shared" ref="P171:P173" si="18">B171+C171+D171+E171+F171+H171+I171+J171+K171+L171+M171+N171+O171</f>
        <v>356033</v>
      </c>
    </row>
    <row r="172" spans="1:16" x14ac:dyDescent="0.25">
      <c r="A172" s="3" t="s">
        <v>70</v>
      </c>
      <c r="B172" s="13">
        <f>B168-B170-B171</f>
        <v>30868</v>
      </c>
      <c r="C172" s="13">
        <f>C168-C170-C171</f>
        <v>0</v>
      </c>
      <c r="D172" s="13">
        <f>D168-D170-D171</f>
        <v>0</v>
      </c>
      <c r="E172" s="13"/>
      <c r="F172" s="13"/>
      <c r="G172" s="13"/>
      <c r="H172" s="13">
        <v>7000</v>
      </c>
      <c r="I172" s="13"/>
      <c r="J172" s="13">
        <v>20000</v>
      </c>
      <c r="K172" s="13">
        <v>17000</v>
      </c>
      <c r="L172" s="13">
        <v>33931</v>
      </c>
      <c r="M172" s="13">
        <v>4830</v>
      </c>
      <c r="N172" s="13"/>
      <c r="O172" s="14"/>
      <c r="P172" s="17">
        <f t="shared" si="18"/>
        <v>113629</v>
      </c>
    </row>
    <row r="173" spans="1:16" x14ac:dyDescent="0.25">
      <c r="A173" s="3" t="s">
        <v>71</v>
      </c>
      <c r="B173" s="18">
        <f>SUM(B170:B172)</f>
        <v>180868</v>
      </c>
      <c r="C173" s="18">
        <f>SUM(C170:C172)</f>
        <v>134500</v>
      </c>
      <c r="D173" s="18">
        <f>D170+D171+D172</f>
        <v>281192</v>
      </c>
      <c r="E173" s="18">
        <f>SUM(E170:E172)</f>
        <v>10000</v>
      </c>
      <c r="F173" s="18">
        <f>SUM(F170:F172)</f>
        <v>8000</v>
      </c>
      <c r="G173" s="18"/>
      <c r="H173" s="18">
        <f t="shared" ref="H173:O173" si="19">SUM(H170:H172)</f>
        <v>17000</v>
      </c>
      <c r="I173" s="18">
        <f t="shared" si="19"/>
        <v>1000</v>
      </c>
      <c r="J173" s="18">
        <f t="shared" si="19"/>
        <v>100000</v>
      </c>
      <c r="K173" s="18">
        <f t="shared" si="19"/>
        <v>332818</v>
      </c>
      <c r="L173" s="18">
        <f t="shared" si="19"/>
        <v>211113</v>
      </c>
      <c r="M173" s="18">
        <f t="shared" si="19"/>
        <v>14830</v>
      </c>
      <c r="N173" s="18">
        <f t="shared" si="19"/>
        <v>4500</v>
      </c>
      <c r="O173" s="19">
        <f t="shared" si="19"/>
        <v>51789</v>
      </c>
      <c r="P173" s="17">
        <f t="shared" si="18"/>
        <v>1347610</v>
      </c>
    </row>
  </sheetData>
  <mergeCells count="1">
    <mergeCell ref="A1:P1"/>
  </mergeCells>
  <pageMargins left="0.7" right="0.7" top="0.75" bottom="0.75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2" sqref="A12:XFD33"/>
    </sheetView>
  </sheetViews>
  <sheetFormatPr defaultRowHeight="15" x14ac:dyDescent="0.25"/>
  <cols>
    <col min="1" max="1" width="27.5703125" customWidth="1"/>
    <col min="2" max="3" width="17.7109375" customWidth="1"/>
    <col min="4" max="4" width="16.28515625" customWidth="1"/>
    <col min="5" max="5" width="15.28515625" customWidth="1"/>
    <col min="6" max="6" width="11.5703125" bestFit="1" customWidth="1"/>
  </cols>
  <sheetData>
    <row r="1" spans="1:6" ht="15.75" x14ac:dyDescent="0.25">
      <c r="A1" s="59"/>
      <c r="B1" s="80" t="s">
        <v>149</v>
      </c>
      <c r="C1" s="80"/>
      <c r="D1" s="80"/>
      <c r="E1" s="60"/>
    </row>
    <row r="2" spans="1:6" ht="15.75" x14ac:dyDescent="0.25">
      <c r="A2" s="81" t="s">
        <v>150</v>
      </c>
      <c r="B2" s="82"/>
      <c r="C2" s="82"/>
      <c r="D2" s="82"/>
      <c r="E2" s="82"/>
    </row>
    <row r="3" spans="1:6" ht="15.75" x14ac:dyDescent="0.25">
      <c r="A3" s="61" t="s">
        <v>151</v>
      </c>
      <c r="B3" s="62" t="s">
        <v>152</v>
      </c>
      <c r="C3" s="61" t="s">
        <v>81</v>
      </c>
      <c r="D3" s="63" t="s">
        <v>70</v>
      </c>
      <c r="E3" s="64" t="s">
        <v>83</v>
      </c>
    </row>
    <row r="4" spans="1:6" ht="15.75" x14ac:dyDescent="0.25">
      <c r="A4" s="65" t="s">
        <v>2</v>
      </c>
      <c r="B4" s="44">
        <v>10000</v>
      </c>
      <c r="C4" s="44"/>
      <c r="D4" s="66"/>
      <c r="E4" s="44">
        <f>B4+C4+D4</f>
        <v>10000</v>
      </c>
    </row>
    <row r="5" spans="1:6" ht="15.75" x14ac:dyDescent="0.25">
      <c r="A5" s="65" t="s">
        <v>3</v>
      </c>
      <c r="B5" s="44">
        <v>25000</v>
      </c>
      <c r="C5" s="44">
        <v>4500</v>
      </c>
      <c r="D5" s="66"/>
      <c r="E5" s="44">
        <f>B5+C5+D5</f>
        <v>29500</v>
      </c>
    </row>
    <row r="6" spans="1:6" ht="15.75" x14ac:dyDescent="0.25">
      <c r="A6" s="65" t="s">
        <v>153</v>
      </c>
      <c r="B6" s="44">
        <v>40000</v>
      </c>
      <c r="C6" s="44">
        <v>5000</v>
      </c>
      <c r="D6" s="66"/>
      <c r="E6" s="44">
        <f>B6+C6+D6</f>
        <v>45000</v>
      </c>
    </row>
    <row r="7" spans="1:6" ht="15.75" x14ac:dyDescent="0.25">
      <c r="A7" s="65" t="s">
        <v>154</v>
      </c>
      <c r="B7" s="44">
        <f>30000-3000</f>
        <v>27000</v>
      </c>
      <c r="C7" s="44">
        <v>7000</v>
      </c>
      <c r="D7" s="66">
        <f>2000+5000</f>
        <v>7000</v>
      </c>
      <c r="E7" s="44">
        <f>B7+C7+D7</f>
        <v>41000</v>
      </c>
    </row>
    <row r="8" spans="1:6" ht="15.75" x14ac:dyDescent="0.25">
      <c r="A8" s="65" t="s">
        <v>11</v>
      </c>
      <c r="B8" s="44">
        <f>100000-5000</f>
        <v>95000</v>
      </c>
      <c r="C8" s="44">
        <f>30000-5500-7000+50000-5325</f>
        <v>62175</v>
      </c>
      <c r="D8" s="66">
        <f>70000-26500+26175-47000+5325</f>
        <v>28000</v>
      </c>
      <c r="E8" s="44">
        <f>B8+C8+D8+8177</f>
        <v>193352</v>
      </c>
    </row>
    <row r="9" spans="1:6" ht="15.75" x14ac:dyDescent="0.25">
      <c r="A9" s="65" t="s">
        <v>13</v>
      </c>
      <c r="B9" s="44">
        <v>3000</v>
      </c>
      <c r="C9" s="44">
        <v>2000</v>
      </c>
      <c r="D9" s="66">
        <v>1000</v>
      </c>
      <c r="E9" s="44">
        <f>B9+C9+D9</f>
        <v>6000</v>
      </c>
    </row>
    <row r="10" spans="1:6" ht="15.75" x14ac:dyDescent="0.25">
      <c r="A10" s="64" t="s">
        <v>155</v>
      </c>
      <c r="B10" s="22">
        <f>SUM(B4:B9)</f>
        <v>200000</v>
      </c>
      <c r="C10" s="22">
        <f>SUM(C5:C9)</f>
        <v>80675</v>
      </c>
      <c r="D10" s="22">
        <f>SUM(D4:D9)</f>
        <v>36000</v>
      </c>
      <c r="E10" s="67">
        <f>B10+C10+D10</f>
        <v>316675</v>
      </c>
      <c r="F10" s="57"/>
    </row>
    <row r="12" spans="1:6" ht="15.75" x14ac:dyDescent="0.25">
      <c r="A12" s="59"/>
      <c r="B12" s="80" t="s">
        <v>149</v>
      </c>
      <c r="C12" s="80"/>
      <c r="D12" s="80"/>
      <c r="E12" s="60"/>
    </row>
    <row r="13" spans="1:6" ht="15.75" x14ac:dyDescent="0.25">
      <c r="A13" s="81" t="s">
        <v>156</v>
      </c>
      <c r="B13" s="82"/>
      <c r="C13" s="82"/>
      <c r="D13" s="82"/>
      <c r="E13" s="82"/>
    </row>
    <row r="14" spans="1:6" ht="15.75" x14ac:dyDescent="0.25">
      <c r="A14" s="61" t="s">
        <v>151</v>
      </c>
      <c r="B14" s="62" t="s">
        <v>152</v>
      </c>
      <c r="C14" s="61" t="s">
        <v>81</v>
      </c>
      <c r="D14" s="63" t="s">
        <v>70</v>
      </c>
      <c r="E14" s="64" t="s">
        <v>157</v>
      </c>
    </row>
    <row r="15" spans="1:6" ht="15.75" x14ac:dyDescent="0.25">
      <c r="A15" s="65" t="s">
        <v>2</v>
      </c>
      <c r="B15" s="44">
        <v>10000</v>
      </c>
      <c r="C15" s="44"/>
      <c r="D15" s="66"/>
      <c r="E15" s="44">
        <f>B15+C15+D15</f>
        <v>10000</v>
      </c>
    </row>
    <row r="16" spans="1:6" ht="15.75" x14ac:dyDescent="0.25">
      <c r="A16" s="65" t="s">
        <v>3</v>
      </c>
      <c r="B16" s="44">
        <v>25000</v>
      </c>
      <c r="C16" s="44">
        <v>4500</v>
      </c>
      <c r="D16" s="66"/>
      <c r="E16" s="44">
        <f>B16+C16+D16</f>
        <v>29500</v>
      </c>
    </row>
    <row r="17" spans="1:5" ht="15.75" x14ac:dyDescent="0.25">
      <c r="A17" s="65" t="s">
        <v>153</v>
      </c>
      <c r="B17" s="44">
        <v>40000</v>
      </c>
      <c r="C17" s="44">
        <v>5000</v>
      </c>
      <c r="D17" s="66"/>
      <c r="E17" s="44">
        <f>B17+C17+D17</f>
        <v>45000</v>
      </c>
    </row>
    <row r="18" spans="1:5" ht="15.75" x14ac:dyDescent="0.25">
      <c r="A18" s="65" t="s">
        <v>154</v>
      </c>
      <c r="B18" s="44">
        <f>30000-3000</f>
        <v>27000</v>
      </c>
      <c r="C18" s="44">
        <v>7000</v>
      </c>
      <c r="D18" s="66">
        <f>2000+5000</f>
        <v>7000</v>
      </c>
      <c r="E18" s="44">
        <f>B18+C18+D18</f>
        <v>41000</v>
      </c>
    </row>
    <row r="19" spans="1:5" ht="15.75" x14ac:dyDescent="0.25">
      <c r="A19" s="65" t="s">
        <v>11</v>
      </c>
      <c r="B19" s="44">
        <f>100000-5000</f>
        <v>95000</v>
      </c>
      <c r="C19" s="44">
        <f>30000-5500-7000+50000-5325</f>
        <v>62175</v>
      </c>
      <c r="D19" s="66">
        <f>70000-26500+26175-47000+5325+8177</f>
        <v>36177</v>
      </c>
      <c r="E19" s="44">
        <f>B19+C19+D19+8177</f>
        <v>201529</v>
      </c>
    </row>
    <row r="20" spans="1:5" ht="15.75" x14ac:dyDescent="0.25">
      <c r="A20" s="65" t="s">
        <v>13</v>
      </c>
      <c r="B20" s="44">
        <v>3000</v>
      </c>
      <c r="C20" s="44">
        <v>2000</v>
      </c>
      <c r="D20" s="66">
        <v>1000</v>
      </c>
      <c r="E20" s="44">
        <f>B20+C20+D20</f>
        <v>6000</v>
      </c>
    </row>
    <row r="21" spans="1:5" ht="15.75" x14ac:dyDescent="0.25">
      <c r="A21" s="64" t="s">
        <v>158</v>
      </c>
      <c r="B21" s="22">
        <f>SUM(B15:B20)</f>
        <v>200000</v>
      </c>
      <c r="C21" s="22">
        <f>SUM(C16:C20)</f>
        <v>80675</v>
      </c>
      <c r="D21" s="22">
        <f>SUM(D15:D20)</f>
        <v>44177</v>
      </c>
      <c r="E21" s="67">
        <f>B21+C21+D21</f>
        <v>324852</v>
      </c>
    </row>
    <row r="23" spans="1:5" ht="15.75" x14ac:dyDescent="0.25">
      <c r="A23" s="68"/>
      <c r="B23" s="80" t="s">
        <v>149</v>
      </c>
      <c r="C23" s="80"/>
      <c r="D23" s="80"/>
      <c r="E23" s="69"/>
    </row>
    <row r="24" spans="1:5" ht="15.75" x14ac:dyDescent="0.25">
      <c r="A24" s="81" t="s">
        <v>159</v>
      </c>
      <c r="B24" s="82"/>
      <c r="C24" s="82"/>
      <c r="D24" s="82"/>
      <c r="E24" s="82"/>
    </row>
    <row r="25" spans="1:5" ht="15.75" x14ac:dyDescent="0.25">
      <c r="A25" s="61" t="s">
        <v>151</v>
      </c>
      <c r="B25" s="62" t="s">
        <v>152</v>
      </c>
      <c r="C25" s="61" t="s">
        <v>81</v>
      </c>
      <c r="D25" s="63" t="s">
        <v>70</v>
      </c>
      <c r="E25" s="64" t="s">
        <v>160</v>
      </c>
    </row>
    <row r="26" spans="1:5" ht="15.75" x14ac:dyDescent="0.25">
      <c r="A26" s="65" t="s">
        <v>2</v>
      </c>
      <c r="B26" s="44">
        <v>10000</v>
      </c>
      <c r="C26" s="44"/>
      <c r="D26" s="66"/>
      <c r="E26" s="44">
        <f>B26+C26+D26</f>
        <v>10000</v>
      </c>
    </row>
    <row r="27" spans="1:5" ht="15.75" x14ac:dyDescent="0.25">
      <c r="A27" s="65" t="s">
        <v>3</v>
      </c>
      <c r="B27" s="44">
        <v>25000</v>
      </c>
      <c r="C27" s="44">
        <v>4500</v>
      </c>
      <c r="D27" s="66"/>
      <c r="E27" s="44">
        <f>B27+C27+D27</f>
        <v>29500</v>
      </c>
    </row>
    <row r="28" spans="1:5" ht="15.75" x14ac:dyDescent="0.25">
      <c r="A28" s="65" t="s">
        <v>153</v>
      </c>
      <c r="B28" s="44">
        <v>40000</v>
      </c>
      <c r="C28" s="44">
        <v>5000</v>
      </c>
      <c r="D28" s="66"/>
      <c r="E28" s="44">
        <f>B28+C28+D28</f>
        <v>45000</v>
      </c>
    </row>
    <row r="29" spans="1:5" ht="15.75" x14ac:dyDescent="0.25">
      <c r="A29" s="65" t="s">
        <v>154</v>
      </c>
      <c r="B29" s="44">
        <f>30000-3000</f>
        <v>27000</v>
      </c>
      <c r="C29" s="44">
        <v>7000</v>
      </c>
      <c r="D29" s="66">
        <f>2000+5000</f>
        <v>7000</v>
      </c>
      <c r="E29" s="44">
        <f>B29+C29+D29</f>
        <v>41000</v>
      </c>
    </row>
    <row r="30" spans="1:5" ht="15.75" x14ac:dyDescent="0.25">
      <c r="A30" s="65" t="s">
        <v>11</v>
      </c>
      <c r="B30" s="44">
        <v>100000</v>
      </c>
      <c r="C30" s="44">
        <f>30000-5500-7000+50000-5325</f>
        <v>62175</v>
      </c>
      <c r="D30" s="66">
        <f>70000-26500+26175-47000+5325+16171</f>
        <v>44171</v>
      </c>
      <c r="E30" s="44">
        <f>B30+C30+D30+8177</f>
        <v>214523</v>
      </c>
    </row>
    <row r="31" spans="1:5" ht="15.75" x14ac:dyDescent="0.25">
      <c r="A31" s="65" t="s">
        <v>13</v>
      </c>
      <c r="B31" s="44">
        <v>3000</v>
      </c>
      <c r="C31" s="44">
        <v>2000</v>
      </c>
      <c r="D31" s="66">
        <v>1000</v>
      </c>
      <c r="E31" s="44">
        <f>B31+C31+D31</f>
        <v>6000</v>
      </c>
    </row>
    <row r="32" spans="1:5" ht="15.75" x14ac:dyDescent="0.25">
      <c r="A32" s="64" t="s">
        <v>161</v>
      </c>
      <c r="B32" s="22">
        <f>SUM(B26:B31)</f>
        <v>205000</v>
      </c>
      <c r="C32" s="22">
        <f>SUM(C27:C31)</f>
        <v>80675</v>
      </c>
      <c r="D32" s="22">
        <f>SUM(D26:D31)</f>
        <v>52171</v>
      </c>
      <c r="E32" s="67">
        <f>B32+C32+D32</f>
        <v>337846</v>
      </c>
    </row>
  </sheetData>
  <mergeCells count="6">
    <mergeCell ref="A24:E24"/>
    <mergeCell ref="B23:D23"/>
    <mergeCell ref="A13:E13"/>
    <mergeCell ref="B12:D12"/>
    <mergeCell ref="B1:D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workbookViewId="0">
      <selection activeCell="A15" sqref="A15:XFD39"/>
    </sheetView>
  </sheetViews>
  <sheetFormatPr defaultRowHeight="15" x14ac:dyDescent="0.25"/>
  <cols>
    <col min="1" max="1" width="20" customWidth="1"/>
    <col min="2" max="2" width="12.42578125" bestFit="1" customWidth="1"/>
    <col min="3" max="3" width="15.7109375" customWidth="1"/>
    <col min="4" max="4" width="14.28515625" customWidth="1"/>
    <col min="5" max="5" width="14" customWidth="1"/>
  </cols>
  <sheetData>
    <row r="2" spans="1:5" ht="15.75" x14ac:dyDescent="0.25">
      <c r="A2" s="81" t="s">
        <v>162</v>
      </c>
      <c r="B2" s="82"/>
      <c r="C2" s="82"/>
      <c r="D2" s="82"/>
      <c r="E2" s="82"/>
    </row>
    <row r="3" spans="1:5" ht="15.75" x14ac:dyDescent="0.25">
      <c r="A3" s="61" t="s">
        <v>163</v>
      </c>
      <c r="B3" s="61"/>
      <c r="C3" s="83">
        <v>2022</v>
      </c>
      <c r="D3" s="83"/>
      <c r="E3" s="58"/>
    </row>
    <row r="4" spans="1:5" ht="15.75" x14ac:dyDescent="0.25">
      <c r="A4" s="70"/>
      <c r="B4" s="71" t="s">
        <v>68</v>
      </c>
      <c r="C4" s="61" t="s">
        <v>164</v>
      </c>
      <c r="D4" s="61" t="s">
        <v>70</v>
      </c>
      <c r="E4" s="72" t="s">
        <v>165</v>
      </c>
    </row>
    <row r="5" spans="1:5" ht="15.75" x14ac:dyDescent="0.25">
      <c r="A5" s="65" t="s">
        <v>166</v>
      </c>
      <c r="B5" s="44"/>
      <c r="C5" s="44">
        <v>10000</v>
      </c>
      <c r="D5" s="44">
        <v>10000</v>
      </c>
      <c r="E5" s="73">
        <f t="shared" ref="E5:E12" si="0">B5+C5+D5</f>
        <v>20000</v>
      </c>
    </row>
    <row r="6" spans="1:5" ht="15.75" x14ac:dyDescent="0.25">
      <c r="A6" s="65" t="s">
        <v>167</v>
      </c>
      <c r="B6" s="44"/>
      <c r="C6" s="44"/>
      <c r="D6" s="44">
        <v>45000</v>
      </c>
      <c r="E6" s="73">
        <f t="shared" si="0"/>
        <v>45000</v>
      </c>
    </row>
    <row r="7" spans="1:5" ht="15.75" x14ac:dyDescent="0.25">
      <c r="A7" s="65" t="s">
        <v>168</v>
      </c>
      <c r="B7" s="44">
        <v>50000</v>
      </c>
      <c r="C7" s="44"/>
      <c r="D7" s="44">
        <v>100000</v>
      </c>
      <c r="E7" s="73">
        <f t="shared" si="0"/>
        <v>150000</v>
      </c>
    </row>
    <row r="8" spans="1:5" ht="15.75" x14ac:dyDescent="0.25">
      <c r="A8" s="65" t="s">
        <v>3</v>
      </c>
      <c r="B8" s="44">
        <v>80000</v>
      </c>
      <c r="C8" s="44">
        <v>50000</v>
      </c>
      <c r="D8" s="44">
        <f>27000-7000</f>
        <v>20000</v>
      </c>
      <c r="E8" s="73">
        <f t="shared" si="0"/>
        <v>150000</v>
      </c>
    </row>
    <row r="9" spans="1:5" ht="15.75" x14ac:dyDescent="0.25">
      <c r="A9" s="65" t="s">
        <v>169</v>
      </c>
      <c r="B9" s="44"/>
      <c r="C9" s="44"/>
      <c r="D9" s="44">
        <v>3000</v>
      </c>
      <c r="E9" s="73">
        <f t="shared" si="0"/>
        <v>3000</v>
      </c>
    </row>
    <row r="10" spans="1:5" ht="15.75" x14ac:dyDescent="0.25">
      <c r="A10" s="65" t="s">
        <v>154</v>
      </c>
      <c r="B10" s="44">
        <v>50000</v>
      </c>
      <c r="C10" s="44">
        <f>20000+10000</f>
        <v>30000</v>
      </c>
      <c r="D10" s="44">
        <f>90000-800+800+5000+7000</f>
        <v>102000</v>
      </c>
      <c r="E10" s="73">
        <f t="shared" si="0"/>
        <v>182000</v>
      </c>
    </row>
    <row r="11" spans="1:5" ht="15.75" x14ac:dyDescent="0.25">
      <c r="A11" s="65" t="s">
        <v>11</v>
      </c>
      <c r="B11" s="44"/>
      <c r="C11" s="44">
        <v>5000</v>
      </c>
      <c r="D11" s="44">
        <f>50000+38500+800+180000+25700</f>
        <v>295000</v>
      </c>
      <c r="E11" s="73">
        <f t="shared" si="0"/>
        <v>300000</v>
      </c>
    </row>
    <row r="12" spans="1:5" ht="15.75" x14ac:dyDescent="0.25">
      <c r="A12" s="64" t="s">
        <v>170</v>
      </c>
      <c r="B12" s="22">
        <f>SUM(B5:B11)</f>
        <v>180000</v>
      </c>
      <c r="C12" s="22">
        <f>SUM(C5:C11)</f>
        <v>95000</v>
      </c>
      <c r="D12" s="22">
        <f>SUM(D5:D11)</f>
        <v>575000</v>
      </c>
      <c r="E12" s="72">
        <f t="shared" si="0"/>
        <v>850000</v>
      </c>
    </row>
    <row r="13" spans="1:5" x14ac:dyDescent="0.25">
      <c r="E13" s="74"/>
    </row>
    <row r="16" spans="1:5" ht="15.75" x14ac:dyDescent="0.25">
      <c r="A16" s="61" t="s">
        <v>163</v>
      </c>
      <c r="B16" s="84" t="s">
        <v>171</v>
      </c>
      <c r="C16" s="85"/>
      <c r="D16" s="86"/>
      <c r="E16" s="58"/>
    </row>
    <row r="17" spans="1:5" ht="15.75" x14ac:dyDescent="0.25">
      <c r="A17" s="70"/>
      <c r="B17" s="71" t="s">
        <v>68</v>
      </c>
      <c r="C17" s="61" t="s">
        <v>164</v>
      </c>
      <c r="D17" s="61" t="s">
        <v>70</v>
      </c>
      <c r="E17" s="72" t="s">
        <v>172</v>
      </c>
    </row>
    <row r="18" spans="1:5" ht="15.75" x14ac:dyDescent="0.25">
      <c r="A18" s="65" t="s">
        <v>166</v>
      </c>
      <c r="B18" s="44">
        <v>10000</v>
      </c>
      <c r="C18" s="44">
        <v>10000</v>
      </c>
      <c r="D18" s="44">
        <v>15000</v>
      </c>
      <c r="E18" s="73">
        <f t="shared" ref="E18:E25" si="1">B18+C18+D18</f>
        <v>35000</v>
      </c>
    </row>
    <row r="19" spans="1:5" ht="15.75" x14ac:dyDescent="0.25">
      <c r="A19" s="65" t="s">
        <v>167</v>
      </c>
      <c r="B19" s="44"/>
      <c r="C19" s="44"/>
      <c r="D19" s="44">
        <f>45000+6146</f>
        <v>51146</v>
      </c>
      <c r="E19" s="73">
        <f t="shared" si="1"/>
        <v>51146</v>
      </c>
    </row>
    <row r="20" spans="1:5" ht="15.75" x14ac:dyDescent="0.25">
      <c r="A20" s="65" t="s">
        <v>168</v>
      </c>
      <c r="B20" s="44">
        <v>50000</v>
      </c>
      <c r="C20" s="44">
        <v>50000</v>
      </c>
      <c r="D20" s="44">
        <v>100000</v>
      </c>
      <c r="E20" s="73">
        <f t="shared" si="1"/>
        <v>200000</v>
      </c>
    </row>
    <row r="21" spans="1:5" ht="15.75" x14ac:dyDescent="0.25">
      <c r="A21" s="65" t="s">
        <v>3</v>
      </c>
      <c r="B21" s="44">
        <v>80000</v>
      </c>
      <c r="C21" s="44">
        <v>50000</v>
      </c>
      <c r="D21" s="44">
        <f>27000-7000</f>
        <v>20000</v>
      </c>
      <c r="E21" s="73">
        <f t="shared" si="1"/>
        <v>150000</v>
      </c>
    </row>
    <row r="22" spans="1:5" ht="15.75" x14ac:dyDescent="0.25">
      <c r="A22" s="65" t="s">
        <v>169</v>
      </c>
      <c r="B22" s="44"/>
      <c r="C22" s="44"/>
      <c r="D22" s="44">
        <v>3000</v>
      </c>
      <c r="E22" s="73">
        <f t="shared" si="1"/>
        <v>3000</v>
      </c>
    </row>
    <row r="23" spans="1:5" ht="15.75" x14ac:dyDescent="0.25">
      <c r="A23" s="65" t="s">
        <v>154</v>
      </c>
      <c r="B23" s="44">
        <v>50000</v>
      </c>
      <c r="C23" s="44">
        <f>20000+10000</f>
        <v>30000</v>
      </c>
      <c r="D23" s="44">
        <f>90000-800+800+5000+7000</f>
        <v>102000</v>
      </c>
      <c r="E23" s="73">
        <f t="shared" si="1"/>
        <v>182000</v>
      </c>
    </row>
    <row r="24" spans="1:5" ht="15.75" x14ac:dyDescent="0.25">
      <c r="A24" s="65" t="s">
        <v>11</v>
      </c>
      <c r="B24" s="44"/>
      <c r="C24" s="44">
        <v>5000</v>
      </c>
      <c r="D24" s="44">
        <f>50000+38500+800+180000+25700</f>
        <v>295000</v>
      </c>
      <c r="E24" s="73">
        <f t="shared" si="1"/>
        <v>300000</v>
      </c>
    </row>
    <row r="25" spans="1:5" ht="15.75" x14ac:dyDescent="0.25">
      <c r="A25" s="64" t="s">
        <v>170</v>
      </c>
      <c r="B25" s="22">
        <f>SUM(B18:B24)</f>
        <v>190000</v>
      </c>
      <c r="C25" s="22">
        <f>SUM(C18:C24)</f>
        <v>145000</v>
      </c>
      <c r="D25" s="22">
        <f>SUM(D18:D24)</f>
        <v>586146</v>
      </c>
      <c r="E25" s="72">
        <f t="shared" si="1"/>
        <v>921146</v>
      </c>
    </row>
    <row r="27" spans="1:5" x14ac:dyDescent="0.25">
      <c r="E27" s="57"/>
    </row>
    <row r="30" spans="1:5" ht="15.75" x14ac:dyDescent="0.25">
      <c r="A30" s="61" t="s">
        <v>163</v>
      </c>
      <c r="B30" s="84" t="s">
        <v>173</v>
      </c>
      <c r="C30" s="85"/>
      <c r="D30" s="86"/>
      <c r="E30" s="58"/>
    </row>
    <row r="31" spans="1:5" ht="15.75" x14ac:dyDescent="0.25">
      <c r="A31" s="70"/>
      <c r="B31" s="71" t="s">
        <v>68</v>
      </c>
      <c r="C31" s="61" t="s">
        <v>164</v>
      </c>
      <c r="D31" s="61" t="s">
        <v>70</v>
      </c>
      <c r="E31" s="72" t="s">
        <v>174</v>
      </c>
    </row>
    <row r="32" spans="1:5" ht="15.75" x14ac:dyDescent="0.25">
      <c r="A32" s="65" t="s">
        <v>166</v>
      </c>
      <c r="B32" s="44">
        <v>10000</v>
      </c>
      <c r="C32" s="44">
        <v>10000</v>
      </c>
      <c r="D32" s="44">
        <v>15000</v>
      </c>
      <c r="E32" s="73">
        <f t="shared" ref="E32:E39" si="2">B32+C32+D32</f>
        <v>35000</v>
      </c>
    </row>
    <row r="33" spans="1:5" ht="15.75" x14ac:dyDescent="0.25">
      <c r="A33" s="65" t="s">
        <v>167</v>
      </c>
      <c r="B33" s="44"/>
      <c r="C33" s="44"/>
      <c r="D33" s="44">
        <v>70000</v>
      </c>
      <c r="E33" s="73">
        <f t="shared" si="2"/>
        <v>70000</v>
      </c>
    </row>
    <row r="34" spans="1:5" ht="15.75" x14ac:dyDescent="0.25">
      <c r="A34" s="65" t="s">
        <v>168</v>
      </c>
      <c r="B34" s="44">
        <v>50000</v>
      </c>
      <c r="C34" s="44">
        <v>50000</v>
      </c>
      <c r="D34" s="44">
        <v>100000</v>
      </c>
      <c r="E34" s="73">
        <f t="shared" si="2"/>
        <v>200000</v>
      </c>
    </row>
    <row r="35" spans="1:5" ht="15.75" x14ac:dyDescent="0.25">
      <c r="A35" s="65" t="s">
        <v>3</v>
      </c>
      <c r="B35" s="44">
        <v>80000</v>
      </c>
      <c r="C35" s="44">
        <v>50000</v>
      </c>
      <c r="D35" s="44">
        <f>27000-7000</f>
        <v>20000</v>
      </c>
      <c r="E35" s="73">
        <f t="shared" si="2"/>
        <v>150000</v>
      </c>
    </row>
    <row r="36" spans="1:5" ht="15.75" x14ac:dyDescent="0.25">
      <c r="A36" s="65" t="s">
        <v>169</v>
      </c>
      <c r="B36" s="44"/>
      <c r="C36" s="44"/>
      <c r="D36" s="44">
        <v>3000</v>
      </c>
      <c r="E36" s="73">
        <f t="shared" si="2"/>
        <v>3000</v>
      </c>
    </row>
    <row r="37" spans="1:5" ht="15.75" x14ac:dyDescent="0.25">
      <c r="A37" s="65" t="s">
        <v>154</v>
      </c>
      <c r="B37" s="44">
        <v>70000</v>
      </c>
      <c r="C37" s="44">
        <f>20000+10000</f>
        <v>30000</v>
      </c>
      <c r="D37" s="44">
        <f>90000-800+800+5000+7000+25412</f>
        <v>127412</v>
      </c>
      <c r="E37" s="73">
        <f t="shared" si="2"/>
        <v>227412</v>
      </c>
    </row>
    <row r="38" spans="1:5" ht="15.75" x14ac:dyDescent="0.25">
      <c r="A38" s="65" t="s">
        <v>11</v>
      </c>
      <c r="B38" s="44"/>
      <c r="C38" s="44">
        <v>5000</v>
      </c>
      <c r="D38" s="44">
        <f>50000+38500+800+180000+25700</f>
        <v>295000</v>
      </c>
      <c r="E38" s="73">
        <f t="shared" si="2"/>
        <v>300000</v>
      </c>
    </row>
    <row r="39" spans="1:5" ht="15.75" x14ac:dyDescent="0.25">
      <c r="A39" s="64" t="s">
        <v>170</v>
      </c>
      <c r="B39" s="22">
        <f>SUM(B32:B38)</f>
        <v>210000</v>
      </c>
      <c r="C39" s="22">
        <f>SUM(C32:C38)</f>
        <v>145000</v>
      </c>
      <c r="D39" s="22">
        <f>SUM(D32:D38)</f>
        <v>630412</v>
      </c>
      <c r="E39" s="72">
        <f t="shared" si="2"/>
        <v>985412</v>
      </c>
    </row>
    <row r="41" spans="1:5" x14ac:dyDescent="0.25">
      <c r="E41" s="57"/>
    </row>
  </sheetData>
  <mergeCells count="4">
    <mergeCell ref="A2:E2"/>
    <mergeCell ref="C3:D3"/>
    <mergeCell ref="B16:D16"/>
    <mergeCell ref="B30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25" workbookViewId="0">
      <selection activeCell="J48" sqref="J48:L48"/>
    </sheetView>
  </sheetViews>
  <sheetFormatPr defaultColWidth="47.28515625" defaultRowHeight="15.75" x14ac:dyDescent="0.25"/>
  <cols>
    <col min="1" max="1" width="45.42578125" style="50" customWidth="1"/>
    <col min="2" max="2" width="12.140625" style="20" hidden="1" customWidth="1"/>
    <col min="3" max="3" width="9.28515625" style="20" hidden="1" customWidth="1"/>
    <col min="4" max="4" width="7.42578125" style="20" hidden="1" customWidth="1"/>
    <col min="5" max="5" width="11" style="20" hidden="1" customWidth="1"/>
    <col min="6" max="6" width="13.28515625" style="20" hidden="1" customWidth="1"/>
    <col min="7" max="7" width="14.140625" style="20" hidden="1" customWidth="1"/>
    <col min="8" max="8" width="12.140625" style="20" hidden="1" customWidth="1"/>
    <col min="9" max="9" width="14.140625" style="20" hidden="1" customWidth="1"/>
    <col min="10" max="10" width="14.5703125" style="20" customWidth="1"/>
    <col min="11" max="11" width="14.42578125" style="20" customWidth="1"/>
    <col min="12" max="12" width="13.5703125" style="20" customWidth="1"/>
    <col min="13" max="14" width="13.85546875" style="20" customWidth="1"/>
    <col min="15" max="15" width="15.28515625" style="20" customWidth="1"/>
    <col min="16" max="16" width="17.85546875" style="20" customWidth="1"/>
    <col min="17" max="17" width="16.5703125" style="20" customWidth="1"/>
    <col min="18" max="16384" width="47.28515625" style="20"/>
  </cols>
  <sheetData>
    <row r="1" spans="1:15" x14ac:dyDescent="0.25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ht="47.25" x14ac:dyDescent="0.25">
      <c r="A2" s="21" t="s">
        <v>76</v>
      </c>
      <c r="B2" s="22" t="s">
        <v>68</v>
      </c>
      <c r="C2" s="22" t="s">
        <v>70</v>
      </c>
      <c r="D2" s="22" t="s">
        <v>77</v>
      </c>
      <c r="E2" s="22" t="s">
        <v>71</v>
      </c>
      <c r="F2" s="23" t="s">
        <v>68</v>
      </c>
      <c r="G2" s="23" t="s">
        <v>78</v>
      </c>
      <c r="H2" s="23" t="s">
        <v>70</v>
      </c>
      <c r="I2" s="23" t="s">
        <v>79</v>
      </c>
      <c r="J2" s="23" t="s">
        <v>80</v>
      </c>
      <c r="K2" s="23" t="s">
        <v>81</v>
      </c>
      <c r="L2" s="23" t="s">
        <v>82</v>
      </c>
      <c r="M2" s="23" t="s">
        <v>83</v>
      </c>
      <c r="N2" s="22" t="s">
        <v>84</v>
      </c>
      <c r="O2" s="22" t="s">
        <v>85</v>
      </c>
    </row>
    <row r="3" spans="1:15" x14ac:dyDescent="0.25">
      <c r="A3" s="24" t="s">
        <v>86</v>
      </c>
      <c r="B3" s="22"/>
      <c r="C3" s="22"/>
      <c r="D3" s="22"/>
      <c r="E3" s="22"/>
      <c r="F3" s="25">
        <v>30000</v>
      </c>
      <c r="G3" s="25">
        <f>SUM(F3)</f>
        <v>30000</v>
      </c>
      <c r="H3" s="25">
        <v>0</v>
      </c>
      <c r="I3" s="25">
        <f>F3+G3+H3</f>
        <v>60000</v>
      </c>
      <c r="J3" s="25"/>
      <c r="K3" s="25">
        <f>20000+30000</f>
        <v>50000</v>
      </c>
      <c r="L3" s="25"/>
      <c r="M3" s="25">
        <f>J3+K3+L3</f>
        <v>50000</v>
      </c>
      <c r="N3" s="26">
        <v>50000</v>
      </c>
      <c r="O3" s="26">
        <v>50000</v>
      </c>
    </row>
    <row r="4" spans="1:15" x14ac:dyDescent="0.25">
      <c r="A4" s="24" t="s">
        <v>87</v>
      </c>
      <c r="B4" s="22"/>
      <c r="C4" s="22"/>
      <c r="D4" s="22"/>
      <c r="E4" s="22"/>
      <c r="F4" s="25"/>
      <c r="G4" s="25"/>
      <c r="H4" s="25"/>
      <c r="I4" s="25"/>
      <c r="J4" s="25"/>
      <c r="K4" s="25">
        <v>10000</v>
      </c>
      <c r="L4" s="25"/>
      <c r="M4" s="25">
        <f>SUM(J4:L4)</f>
        <v>10000</v>
      </c>
      <c r="N4" s="26">
        <v>10000</v>
      </c>
      <c r="O4" s="26">
        <v>10000</v>
      </c>
    </row>
    <row r="5" spans="1:15" x14ac:dyDescent="0.25">
      <c r="A5" s="21" t="s">
        <v>88</v>
      </c>
      <c r="B5" s="22"/>
      <c r="C5" s="22"/>
      <c r="D5" s="22"/>
      <c r="E5" s="22"/>
      <c r="F5" s="23">
        <f>SUM(F3)</f>
        <v>30000</v>
      </c>
      <c r="G5" s="23">
        <f>SUM(F5)</f>
        <v>30000</v>
      </c>
      <c r="H5" s="23" t="e">
        <f>H3+#REF!</f>
        <v>#REF!</v>
      </c>
      <c r="I5" s="23">
        <f>SUM(I3:I3)</f>
        <v>60000</v>
      </c>
      <c r="J5" s="23">
        <f>SUM(J3:J4)</f>
        <v>0</v>
      </c>
      <c r="K5" s="23">
        <f>SUM(K3:K4)</f>
        <v>60000</v>
      </c>
      <c r="L5" s="23">
        <f>SUM(L3:L4)</f>
        <v>0</v>
      </c>
      <c r="M5" s="27">
        <f>M3+M4</f>
        <v>60000</v>
      </c>
      <c r="N5" s="28">
        <f>SUM(N3:N4)</f>
        <v>60000</v>
      </c>
      <c r="O5" s="28">
        <f>SUM(O3:O4)</f>
        <v>60000</v>
      </c>
    </row>
    <row r="6" spans="1:15" x14ac:dyDescent="0.25">
      <c r="A6" s="21" t="s">
        <v>11</v>
      </c>
      <c r="B6" s="22"/>
      <c r="C6" s="22"/>
      <c r="D6" s="22"/>
      <c r="E6" s="22"/>
      <c r="F6" s="23"/>
      <c r="G6" s="23"/>
      <c r="H6" s="23"/>
      <c r="I6" s="23"/>
      <c r="J6" s="23" t="s">
        <v>80</v>
      </c>
      <c r="K6" s="23" t="s">
        <v>81</v>
      </c>
      <c r="L6" s="23" t="s">
        <v>82</v>
      </c>
      <c r="M6" s="23" t="s">
        <v>83</v>
      </c>
      <c r="N6" s="22" t="s">
        <v>84</v>
      </c>
      <c r="O6" s="22" t="s">
        <v>85</v>
      </c>
    </row>
    <row r="7" spans="1:15" x14ac:dyDescent="0.25">
      <c r="A7" s="24" t="s">
        <v>89</v>
      </c>
      <c r="B7" s="26">
        <v>70000</v>
      </c>
      <c r="C7" s="26">
        <v>60000</v>
      </c>
      <c r="D7" s="26"/>
      <c r="E7" s="26">
        <f>B7+C7+D7</f>
        <v>130000</v>
      </c>
      <c r="F7" s="25">
        <v>20000</v>
      </c>
      <c r="G7" s="25">
        <v>30000</v>
      </c>
      <c r="H7" s="25" t="e">
        <f>H3+H5</f>
        <v>#REF!</v>
      </c>
      <c r="I7" s="29" t="e">
        <f t="shared" ref="I7:I13" si="0">F7+G7+H7</f>
        <v>#REF!</v>
      </c>
      <c r="J7" s="29"/>
      <c r="K7" s="29">
        <v>50000</v>
      </c>
      <c r="L7" s="29"/>
      <c r="M7" s="29">
        <f>J7+K7+L7</f>
        <v>50000</v>
      </c>
      <c r="N7" s="26">
        <v>30000</v>
      </c>
      <c r="O7" s="26">
        <v>30000</v>
      </c>
    </row>
    <row r="8" spans="1:15" x14ac:dyDescent="0.25">
      <c r="A8" s="24" t="s">
        <v>90</v>
      </c>
      <c r="B8" s="26">
        <v>10000</v>
      </c>
      <c r="C8" s="26">
        <v>30000</v>
      </c>
      <c r="D8" s="26"/>
      <c r="E8" s="26">
        <f>B8+C8+D8</f>
        <v>40000</v>
      </c>
      <c r="F8" s="25">
        <v>10000</v>
      </c>
      <c r="G8" s="25">
        <f>10000+10000</f>
        <v>20000</v>
      </c>
      <c r="H8" s="25"/>
      <c r="I8" s="29">
        <f t="shared" si="0"/>
        <v>30000</v>
      </c>
      <c r="J8" s="29"/>
      <c r="K8" s="29">
        <f>20000+10000</f>
        <v>30000</v>
      </c>
      <c r="L8" s="29"/>
      <c r="M8" s="29">
        <f t="shared" ref="M8:M13" si="1">J8+K8+L8</f>
        <v>30000</v>
      </c>
      <c r="N8" s="26">
        <v>30000</v>
      </c>
      <c r="O8" s="26">
        <v>30000</v>
      </c>
    </row>
    <row r="9" spans="1:15" ht="31.5" x14ac:dyDescent="0.25">
      <c r="A9" s="24" t="s">
        <v>91</v>
      </c>
      <c r="B9" s="26"/>
      <c r="C9" s="26"/>
      <c r="D9" s="26"/>
      <c r="E9" s="26"/>
      <c r="F9" s="25"/>
      <c r="G9" s="25">
        <v>139990.32999999999</v>
      </c>
      <c r="H9" s="25"/>
      <c r="I9" s="29">
        <f t="shared" si="0"/>
        <v>139990.32999999999</v>
      </c>
      <c r="J9" s="29"/>
      <c r="K9" s="29">
        <f>100000+150000+100000+30000+49999</f>
        <v>429999</v>
      </c>
      <c r="L9" s="29"/>
      <c r="M9" s="29">
        <f t="shared" si="1"/>
        <v>429999</v>
      </c>
      <c r="N9" s="26">
        <f>225574+124426</f>
        <v>350000</v>
      </c>
      <c r="O9" s="26">
        <v>350000</v>
      </c>
    </row>
    <row r="10" spans="1:15" ht="31.5" x14ac:dyDescent="0.25">
      <c r="A10" s="24" t="s">
        <v>92</v>
      </c>
      <c r="B10" s="26">
        <v>5000</v>
      </c>
      <c r="C10" s="26">
        <v>5000</v>
      </c>
      <c r="D10" s="26"/>
      <c r="E10" s="26">
        <f>B10+C10+D10</f>
        <v>10000</v>
      </c>
      <c r="F10" s="25">
        <v>5000</v>
      </c>
      <c r="G10" s="25">
        <v>5000</v>
      </c>
      <c r="H10" s="25"/>
      <c r="I10" s="29">
        <f t="shared" si="0"/>
        <v>10000</v>
      </c>
      <c r="J10" s="29"/>
      <c r="K10" s="29">
        <v>10000</v>
      </c>
      <c r="L10" s="29"/>
      <c r="M10" s="29">
        <f t="shared" si="1"/>
        <v>10000</v>
      </c>
      <c r="N10" s="26">
        <v>10000</v>
      </c>
      <c r="O10" s="26">
        <v>10000</v>
      </c>
    </row>
    <row r="11" spans="1:15" ht="31.5" x14ac:dyDescent="0.25">
      <c r="A11" s="24" t="s">
        <v>93</v>
      </c>
      <c r="B11" s="26">
        <v>40000</v>
      </c>
      <c r="C11" s="26">
        <v>10000</v>
      </c>
      <c r="D11" s="26"/>
      <c r="E11" s="26">
        <f>B11+C11+D11</f>
        <v>50000</v>
      </c>
      <c r="F11" s="25">
        <v>10000</v>
      </c>
      <c r="G11" s="25">
        <f>10000+10000</f>
        <v>20000</v>
      </c>
      <c r="H11" s="25"/>
      <c r="I11" s="29">
        <f t="shared" si="0"/>
        <v>30000</v>
      </c>
      <c r="J11" s="29"/>
      <c r="K11" s="29">
        <f>20000+20000</f>
        <v>40000</v>
      </c>
      <c r="L11" s="29"/>
      <c r="M11" s="29">
        <f t="shared" si="1"/>
        <v>40000</v>
      </c>
      <c r="N11" s="26">
        <v>30000</v>
      </c>
      <c r="O11" s="26">
        <v>30000</v>
      </c>
    </row>
    <row r="12" spans="1:15" x14ac:dyDescent="0.25">
      <c r="A12" s="24" t="s">
        <v>94</v>
      </c>
      <c r="B12" s="26">
        <v>10000</v>
      </c>
      <c r="C12" s="26">
        <v>10000</v>
      </c>
      <c r="D12" s="26"/>
      <c r="E12" s="26">
        <f>B12+C12+D12</f>
        <v>20000</v>
      </c>
      <c r="F12" s="25">
        <v>10000</v>
      </c>
      <c r="G12" s="25">
        <f>20000+5000</f>
        <v>25000</v>
      </c>
      <c r="H12" s="25"/>
      <c r="I12" s="29">
        <f t="shared" si="0"/>
        <v>35000</v>
      </c>
      <c r="J12" s="29"/>
      <c r="K12" s="29">
        <f>20000+10000</f>
        <v>30000</v>
      </c>
      <c r="L12" s="29"/>
      <c r="M12" s="29">
        <f t="shared" si="1"/>
        <v>30000</v>
      </c>
      <c r="N12" s="26">
        <v>30000</v>
      </c>
      <c r="O12" s="26">
        <v>30000</v>
      </c>
    </row>
    <row r="13" spans="1:15" ht="31.5" x14ac:dyDescent="0.25">
      <c r="A13" s="24" t="s">
        <v>95</v>
      </c>
      <c r="B13" s="26"/>
      <c r="C13" s="26"/>
      <c r="D13" s="26"/>
      <c r="E13" s="26"/>
      <c r="F13" s="25">
        <v>10000</v>
      </c>
      <c r="G13" s="25">
        <f>10000+10000</f>
        <v>20000</v>
      </c>
      <c r="H13" s="25"/>
      <c r="I13" s="29">
        <f t="shared" si="0"/>
        <v>30000</v>
      </c>
      <c r="J13" s="29"/>
      <c r="K13" s="29">
        <f>100000+100000</f>
        <v>200000</v>
      </c>
      <c r="L13" s="29"/>
      <c r="M13" s="29">
        <f t="shared" si="1"/>
        <v>200000</v>
      </c>
      <c r="N13" s="26">
        <v>20000</v>
      </c>
      <c r="O13" s="26">
        <v>10000</v>
      </c>
    </row>
    <row r="14" spans="1:15" x14ac:dyDescent="0.25">
      <c r="A14" s="21" t="s">
        <v>96</v>
      </c>
      <c r="B14" s="22" t="e">
        <f>B7+B8+#REF!+B10+B11+B12</f>
        <v>#REF!</v>
      </c>
      <c r="C14" s="22">
        <f>SUM(C7:C12)</f>
        <v>115000</v>
      </c>
      <c r="D14" s="22"/>
      <c r="E14" s="22" t="e">
        <f>SUM(B14:D14)</f>
        <v>#REF!</v>
      </c>
      <c r="F14" s="22">
        <f t="shared" ref="F14:I14" si="2">SUM(F7:F13)</f>
        <v>65000</v>
      </c>
      <c r="G14" s="22">
        <f t="shared" si="2"/>
        <v>259990.33</v>
      </c>
      <c r="H14" s="22" t="e">
        <f t="shared" si="2"/>
        <v>#REF!</v>
      </c>
      <c r="I14" s="22" t="e">
        <f t="shared" si="2"/>
        <v>#REF!</v>
      </c>
      <c r="J14" s="22">
        <f>SUM(J6:J13)</f>
        <v>0</v>
      </c>
      <c r="K14" s="22">
        <f>SUM(K7:K13)</f>
        <v>789999</v>
      </c>
      <c r="L14" s="22"/>
      <c r="M14" s="30">
        <f>SUM(M6:M13)</f>
        <v>789999</v>
      </c>
      <c r="N14" s="28">
        <f>SUM(N7:N13)</f>
        <v>500000</v>
      </c>
      <c r="O14" s="28">
        <f>SUM(O7:O13)</f>
        <v>490000</v>
      </c>
    </row>
    <row r="15" spans="1:15" ht="31.5" x14ac:dyDescent="0.25">
      <c r="A15" s="21" t="s">
        <v>97</v>
      </c>
      <c r="B15" s="26">
        <v>50000</v>
      </c>
      <c r="C15" s="26">
        <v>100000</v>
      </c>
      <c r="D15" s="26"/>
      <c r="E15" s="26">
        <f>B15+C15+D15</f>
        <v>150000</v>
      </c>
      <c r="F15" s="23" t="s">
        <v>68</v>
      </c>
      <c r="G15" s="23" t="s">
        <v>78</v>
      </c>
      <c r="H15" s="23" t="s">
        <v>70</v>
      </c>
      <c r="I15" s="23" t="s">
        <v>79</v>
      </c>
      <c r="J15" s="23" t="s">
        <v>80</v>
      </c>
      <c r="K15" s="23" t="s">
        <v>81</v>
      </c>
      <c r="L15" s="23" t="s">
        <v>82</v>
      </c>
      <c r="M15" s="23" t="s">
        <v>83</v>
      </c>
      <c r="N15" s="22" t="s">
        <v>84</v>
      </c>
      <c r="O15" s="22" t="s">
        <v>85</v>
      </c>
    </row>
    <row r="16" spans="1:15" x14ac:dyDescent="0.25">
      <c r="A16" s="24"/>
      <c r="B16" s="26"/>
      <c r="C16" s="26"/>
      <c r="D16" s="26"/>
      <c r="E16" s="26"/>
      <c r="F16" s="23"/>
      <c r="G16" s="25"/>
      <c r="H16" s="23"/>
      <c r="I16" s="25"/>
      <c r="K16" s="25"/>
      <c r="L16" s="25"/>
      <c r="M16" s="25"/>
      <c r="N16" s="26"/>
      <c r="O16" s="26"/>
    </row>
    <row r="17" spans="1:15" x14ac:dyDescent="0.25">
      <c r="A17" s="24" t="s">
        <v>98</v>
      </c>
      <c r="B17" s="26">
        <v>60000</v>
      </c>
      <c r="C17" s="26">
        <v>20000</v>
      </c>
      <c r="D17" s="26"/>
      <c r="E17" s="26">
        <f>B17+C17+D17</f>
        <v>80000</v>
      </c>
      <c r="F17" s="25">
        <v>50000</v>
      </c>
      <c r="G17" s="25">
        <f>80000+14605+5395</f>
        <v>100000</v>
      </c>
      <c r="H17" s="25"/>
      <c r="I17" s="25">
        <f t="shared" ref="I17:I19" si="3">F17+G17+H17</f>
        <v>150000</v>
      </c>
      <c r="J17" s="25"/>
      <c r="K17" s="25">
        <f>70000+10000+70000</f>
        <v>150000</v>
      </c>
      <c r="L17" s="25"/>
      <c r="M17" s="25">
        <f t="shared" ref="M17:M19" si="4">J17+K17+L17</f>
        <v>150000</v>
      </c>
      <c r="N17" s="26">
        <v>200000</v>
      </c>
      <c r="O17" s="26">
        <v>200000</v>
      </c>
    </row>
    <row r="18" spans="1:15" x14ac:dyDescent="0.25">
      <c r="A18" s="24" t="s">
        <v>99</v>
      </c>
      <c r="B18" s="26">
        <v>100000</v>
      </c>
      <c r="C18" s="26">
        <v>250000</v>
      </c>
      <c r="D18" s="26"/>
      <c r="E18" s="26">
        <f>B18+C18+D18</f>
        <v>350000</v>
      </c>
      <c r="F18" s="25">
        <v>0</v>
      </c>
      <c r="G18" s="25">
        <f>240000+30000</f>
        <v>270000</v>
      </c>
      <c r="H18" s="25"/>
      <c r="I18" s="25">
        <f t="shared" si="3"/>
        <v>270000</v>
      </c>
      <c r="J18" s="25"/>
      <c r="K18" s="25">
        <v>270000</v>
      </c>
      <c r="L18" s="25"/>
      <c r="M18" s="25">
        <f t="shared" si="4"/>
        <v>270000</v>
      </c>
      <c r="N18" s="26">
        <v>300000</v>
      </c>
      <c r="O18" s="26">
        <v>300000</v>
      </c>
    </row>
    <row r="19" spans="1:15" ht="31.5" x14ac:dyDescent="0.25">
      <c r="A19" s="24" t="s">
        <v>100</v>
      </c>
      <c r="B19" s="26">
        <f>508145+180665-110414-100000</f>
        <v>478396</v>
      </c>
      <c r="C19" s="26">
        <f>79586+50000-29586-50000</f>
        <v>50000</v>
      </c>
      <c r="D19" s="26"/>
      <c r="E19" s="26">
        <f>B19+C19+D19</f>
        <v>528396</v>
      </c>
      <c r="F19" s="25">
        <f>219473-63315-71038+50000+100000-180</f>
        <v>234940</v>
      </c>
      <c r="G19" s="25">
        <f>1180280-50000+130000-130000-208660-75161-100000-25395-139990.33+5000-100000</f>
        <v>486073.67000000004</v>
      </c>
      <c r="H19" s="25"/>
      <c r="I19" s="25">
        <f t="shared" si="3"/>
        <v>721013.67</v>
      </c>
      <c r="J19" s="25">
        <v>271423</v>
      </c>
      <c r="K19" s="25">
        <f>1764050-309999-744727.37-376990.37+836157.74-271423-175405-200000-31371-100000-20000-80000+70000</f>
        <v>360292</v>
      </c>
      <c r="L19" s="25"/>
      <c r="M19" s="25">
        <f t="shared" si="4"/>
        <v>631715</v>
      </c>
      <c r="N19" s="26">
        <f>1316525-100000-54245-200000+200000</f>
        <v>1162280</v>
      </c>
      <c r="O19" s="26">
        <f>1636055+114049</f>
        <v>1750104</v>
      </c>
    </row>
    <row r="20" spans="1:15" x14ac:dyDescent="0.25">
      <c r="A20" s="24" t="s">
        <v>101</v>
      </c>
      <c r="B20" s="26"/>
      <c r="C20" s="26"/>
      <c r="D20" s="26"/>
      <c r="E20" s="26"/>
      <c r="F20" s="25"/>
      <c r="G20" s="25"/>
      <c r="H20" s="25"/>
      <c r="I20" s="25"/>
      <c r="J20" s="25"/>
      <c r="K20" s="25">
        <v>200000</v>
      </c>
      <c r="L20" s="25"/>
      <c r="M20" s="25">
        <f>J20+K20+L20</f>
        <v>200000</v>
      </c>
      <c r="N20" s="26">
        <v>100000</v>
      </c>
      <c r="O20" s="26">
        <v>100000</v>
      </c>
    </row>
    <row r="21" spans="1:15" x14ac:dyDescent="0.25">
      <c r="A21" s="21" t="s">
        <v>102</v>
      </c>
      <c r="B21" s="22">
        <f>SUM(B15:B19)</f>
        <v>688396</v>
      </c>
      <c r="C21" s="22">
        <f>SUM(C15:C19)</f>
        <v>420000</v>
      </c>
      <c r="D21" s="22"/>
      <c r="E21" s="22">
        <f>B21+C21+D21</f>
        <v>1108396</v>
      </c>
      <c r="F21" s="23">
        <f>SUM(F15:F19)</f>
        <v>284940</v>
      </c>
      <c r="G21" s="23">
        <f>SUM(G16:G19)</f>
        <v>856073.67</v>
      </c>
      <c r="H21" s="23">
        <f>SUM(H15:H19)</f>
        <v>0</v>
      </c>
      <c r="I21" s="23">
        <f>SUM(I16:I19)</f>
        <v>1141013.67</v>
      </c>
      <c r="J21" s="23">
        <f>SUM(J16:J19)</f>
        <v>271423</v>
      </c>
      <c r="K21" s="23">
        <f>SUM(K16:K20)</f>
        <v>980292</v>
      </c>
      <c r="L21" s="23">
        <f>SUM(L16:L20)</f>
        <v>0</v>
      </c>
      <c r="M21" s="27">
        <f>SUM(M16:M20)</f>
        <v>1251715</v>
      </c>
      <c r="N21" s="28">
        <f>SUM(N16:N20)</f>
        <v>1762280</v>
      </c>
      <c r="O21" s="28">
        <f>SUM(O16:O20)</f>
        <v>2350104</v>
      </c>
    </row>
    <row r="22" spans="1:15" x14ac:dyDescent="0.25">
      <c r="A22" s="21" t="s">
        <v>103</v>
      </c>
      <c r="B22" s="22"/>
      <c r="C22" s="22"/>
      <c r="D22" s="22"/>
      <c r="E22" s="22"/>
      <c r="F22" s="23"/>
      <c r="G22" s="23"/>
      <c r="H22" s="23"/>
      <c r="I22" s="23"/>
      <c r="J22" s="23" t="s">
        <v>80</v>
      </c>
      <c r="K22" s="23" t="s">
        <v>81</v>
      </c>
      <c r="L22" s="23" t="s">
        <v>82</v>
      </c>
      <c r="M22" s="23" t="s">
        <v>83</v>
      </c>
      <c r="N22" s="22" t="s">
        <v>84</v>
      </c>
      <c r="O22" s="22" t="s">
        <v>85</v>
      </c>
    </row>
    <row r="23" spans="1:15" x14ac:dyDescent="0.25">
      <c r="A23" s="24" t="s">
        <v>104</v>
      </c>
      <c r="B23" s="26">
        <v>150000</v>
      </c>
      <c r="C23" s="26">
        <v>50000</v>
      </c>
      <c r="D23" s="26"/>
      <c r="E23" s="26">
        <f>B23+C23+D23</f>
        <v>200000</v>
      </c>
      <c r="F23" s="25">
        <v>20000</v>
      </c>
      <c r="G23" s="25">
        <v>150000</v>
      </c>
      <c r="H23" s="25"/>
      <c r="I23" s="25">
        <f>F23+G23+H23</f>
        <v>170000</v>
      </c>
      <c r="J23" s="25"/>
      <c r="K23" s="25">
        <f>130000+80000</f>
        <v>210000</v>
      </c>
      <c r="L23" s="31">
        <v>70000</v>
      </c>
      <c r="M23" s="25">
        <f>J23+K23+L23</f>
        <v>280000</v>
      </c>
      <c r="N23" s="26">
        <v>100000</v>
      </c>
      <c r="O23" s="26">
        <v>80000</v>
      </c>
    </row>
    <row r="24" spans="1:15" x14ac:dyDescent="0.25">
      <c r="A24" s="21" t="s">
        <v>105</v>
      </c>
      <c r="B24" s="22">
        <f>SUM(B23:B23)</f>
        <v>150000</v>
      </c>
      <c r="C24" s="22">
        <f>SUM(C23:C23)</f>
        <v>50000</v>
      </c>
      <c r="D24" s="22">
        <f>SUM(D23:D23)</f>
        <v>0</v>
      </c>
      <c r="E24" s="22">
        <f>SUM(E23:E23)</f>
        <v>200000</v>
      </c>
      <c r="F24" s="23">
        <f>SUM(F23:F23)</f>
        <v>20000</v>
      </c>
      <c r="G24" s="23" t="e">
        <f>G23+#REF!</f>
        <v>#REF!</v>
      </c>
      <c r="H24" s="23">
        <f>SUM(H23:H23)</f>
        <v>0</v>
      </c>
      <c r="I24" s="23" t="e">
        <f>SUM(F24:H24)</f>
        <v>#REF!</v>
      </c>
      <c r="J24" s="23">
        <f>SUM(J23:J23)</f>
        <v>0</v>
      </c>
      <c r="K24" s="23">
        <f>SUM(K22:K23)</f>
        <v>210000</v>
      </c>
      <c r="L24" s="23">
        <f>SUM(L23)</f>
        <v>70000</v>
      </c>
      <c r="M24" s="27">
        <f>SUM(M23:M23)</f>
        <v>280000</v>
      </c>
      <c r="N24" s="28">
        <f>SUM(N23)</f>
        <v>100000</v>
      </c>
      <c r="O24" s="28">
        <f>SUM(O23)</f>
        <v>80000</v>
      </c>
    </row>
    <row r="25" spans="1:15" ht="31.5" x14ac:dyDescent="0.25">
      <c r="A25" s="21" t="s">
        <v>106</v>
      </c>
      <c r="B25" s="22"/>
      <c r="C25" s="22"/>
      <c r="D25" s="22"/>
      <c r="E25" s="22"/>
      <c r="F25" s="23" t="s">
        <v>68</v>
      </c>
      <c r="G25" s="23" t="s">
        <v>78</v>
      </c>
      <c r="H25" s="23" t="s">
        <v>70</v>
      </c>
      <c r="I25" s="23" t="s">
        <v>79</v>
      </c>
      <c r="J25" s="23" t="s">
        <v>80</v>
      </c>
      <c r="K25" s="23" t="s">
        <v>81</v>
      </c>
      <c r="L25" s="23" t="s">
        <v>82</v>
      </c>
      <c r="M25" s="23" t="s">
        <v>83</v>
      </c>
      <c r="N25" s="22" t="s">
        <v>84</v>
      </c>
      <c r="O25" s="22" t="s">
        <v>85</v>
      </c>
    </row>
    <row r="26" spans="1:15" x14ac:dyDescent="0.25">
      <c r="A26" s="24" t="s">
        <v>107</v>
      </c>
      <c r="B26" s="26">
        <v>50000</v>
      </c>
      <c r="C26" s="26">
        <v>50000</v>
      </c>
      <c r="D26" s="26"/>
      <c r="E26" s="26">
        <f>B26+C26+D26</f>
        <v>100000</v>
      </c>
      <c r="F26" s="25">
        <f>50000+10000</f>
        <v>60000</v>
      </c>
      <c r="G26" s="25">
        <f>20000+100000</f>
        <v>120000</v>
      </c>
      <c r="H26" s="25"/>
      <c r="I26" s="25">
        <f>F26+G26+H26</f>
        <v>180000</v>
      </c>
      <c r="J26" s="25"/>
      <c r="K26" s="25">
        <f>20000+20000+30000</f>
        <v>70000</v>
      </c>
      <c r="L26" s="25"/>
      <c r="M26" s="26">
        <f>J26+K26+L26</f>
        <v>70000</v>
      </c>
      <c r="N26" s="26">
        <v>150000</v>
      </c>
      <c r="O26" s="26">
        <v>150000</v>
      </c>
    </row>
    <row r="27" spans="1:15" x14ac:dyDescent="0.25">
      <c r="A27" s="24" t="s">
        <v>108</v>
      </c>
      <c r="B27" s="26">
        <v>10000</v>
      </c>
      <c r="C27" s="26"/>
      <c r="D27" s="26"/>
      <c r="E27" s="26">
        <f>B27+C27+D27</f>
        <v>10000</v>
      </c>
      <c r="F27" s="25">
        <v>10000</v>
      </c>
      <c r="G27" s="25"/>
      <c r="H27" s="25"/>
      <c r="I27" s="25">
        <f>F27+G27+H27</f>
        <v>10000</v>
      </c>
      <c r="J27" s="25"/>
      <c r="K27" s="25">
        <v>10000</v>
      </c>
      <c r="L27" s="25"/>
      <c r="M27" s="26">
        <f t="shared" ref="M27:M28" si="5">J27+K27+L27</f>
        <v>10000</v>
      </c>
      <c r="N27" s="26">
        <v>20000</v>
      </c>
      <c r="O27" s="26">
        <v>20000</v>
      </c>
    </row>
    <row r="28" spans="1:15" x14ac:dyDescent="0.25">
      <c r="A28" s="24" t="s">
        <v>109</v>
      </c>
      <c r="B28" s="26"/>
      <c r="C28" s="26"/>
      <c r="D28" s="26"/>
      <c r="E28" s="26"/>
      <c r="F28" s="25"/>
      <c r="G28" s="25">
        <v>350000</v>
      </c>
      <c r="H28" s="25"/>
      <c r="I28" s="25">
        <f>F28+G28+H28</f>
        <v>350000</v>
      </c>
      <c r="J28" s="25"/>
      <c r="K28" s="25">
        <f>1000000+1000000</f>
        <v>2000000</v>
      </c>
      <c r="L28" s="25"/>
      <c r="M28" s="26">
        <f t="shared" si="5"/>
        <v>2000000</v>
      </c>
      <c r="N28" s="26">
        <v>2000000</v>
      </c>
      <c r="O28" s="26">
        <v>2000000</v>
      </c>
    </row>
    <row r="29" spans="1:15" x14ac:dyDescent="0.25">
      <c r="A29" s="21" t="s">
        <v>110</v>
      </c>
      <c r="B29" s="22">
        <f t="shared" ref="B29:H29" si="6">SUM(B26:B27)</f>
        <v>60000</v>
      </c>
      <c r="C29" s="22">
        <f t="shared" si="6"/>
        <v>50000</v>
      </c>
      <c r="D29" s="22">
        <f t="shared" si="6"/>
        <v>0</v>
      </c>
      <c r="E29" s="22">
        <f t="shared" si="6"/>
        <v>110000</v>
      </c>
      <c r="F29" s="22">
        <f t="shared" si="6"/>
        <v>70000</v>
      </c>
      <c r="G29" s="22">
        <f>SUM(G26:G28)</f>
        <v>470000</v>
      </c>
      <c r="H29" s="22">
        <f t="shared" si="6"/>
        <v>0</v>
      </c>
      <c r="I29" s="22">
        <f t="shared" ref="I29:O29" si="7">SUM(I26:I28)</f>
        <v>540000</v>
      </c>
      <c r="J29" s="22">
        <f t="shared" si="7"/>
        <v>0</v>
      </c>
      <c r="K29" s="22">
        <f t="shared" si="7"/>
        <v>2080000</v>
      </c>
      <c r="L29" s="22">
        <f t="shared" si="7"/>
        <v>0</v>
      </c>
      <c r="M29" s="28">
        <f t="shared" si="7"/>
        <v>2080000</v>
      </c>
      <c r="N29" s="28">
        <f t="shared" si="7"/>
        <v>2170000</v>
      </c>
      <c r="O29" s="28">
        <f t="shared" si="7"/>
        <v>2170000</v>
      </c>
    </row>
    <row r="30" spans="1:1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4"/>
      <c r="O30" s="34"/>
    </row>
    <row r="31" spans="1:15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4"/>
    </row>
    <row r="32" spans="1:15" x14ac:dyDescent="0.2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34"/>
    </row>
    <row r="33" spans="1:15" x14ac:dyDescent="0.25">
      <c r="A33" s="21" t="s">
        <v>111</v>
      </c>
      <c r="B33" s="22"/>
      <c r="C33" s="22"/>
      <c r="D33" s="22"/>
      <c r="E33" s="22"/>
      <c r="F33" s="22"/>
      <c r="G33" s="22"/>
      <c r="H33" s="22"/>
      <c r="I33" s="22"/>
      <c r="J33" s="22" t="s">
        <v>80</v>
      </c>
      <c r="K33" s="22" t="s">
        <v>81</v>
      </c>
      <c r="L33" s="22" t="s">
        <v>82</v>
      </c>
      <c r="M33" s="22" t="s">
        <v>83</v>
      </c>
      <c r="N33" s="22" t="s">
        <v>84</v>
      </c>
      <c r="O33" s="22" t="s">
        <v>85</v>
      </c>
    </row>
    <row r="34" spans="1:15" x14ac:dyDescent="0.25">
      <c r="A34" s="24" t="s">
        <v>112</v>
      </c>
      <c r="B34" s="26">
        <v>10000</v>
      </c>
      <c r="C34" s="26">
        <v>10000</v>
      </c>
      <c r="D34" s="26"/>
      <c r="E34" s="26">
        <f>B34+C34+D34</f>
        <v>20000</v>
      </c>
      <c r="F34" s="26"/>
      <c r="G34" s="26">
        <f>10000+20000</f>
        <v>30000</v>
      </c>
      <c r="H34" s="26">
        <f>10000+395+180</f>
        <v>10575</v>
      </c>
      <c r="I34" s="26">
        <f>F34+G34+H34</f>
        <v>40575</v>
      </c>
      <c r="J34" s="26"/>
      <c r="K34" s="26">
        <v>30000</v>
      </c>
      <c r="L34" s="35">
        <v>30000</v>
      </c>
      <c r="M34" s="26">
        <f>J34+K34+L34</f>
        <v>60000</v>
      </c>
      <c r="N34" s="26">
        <v>20000</v>
      </c>
      <c r="O34" s="26">
        <v>20000</v>
      </c>
    </row>
    <row r="35" spans="1:15" x14ac:dyDescent="0.25">
      <c r="A35" s="24" t="s">
        <v>113</v>
      </c>
      <c r="B35" s="26">
        <v>5000</v>
      </c>
      <c r="C35" s="26">
        <v>10000</v>
      </c>
      <c r="D35" s="26"/>
      <c r="E35" s="26">
        <f>B35+C35+D35</f>
        <v>15000</v>
      </c>
      <c r="F35" s="25"/>
      <c r="G35" s="25"/>
      <c r="H35" s="25">
        <f>15000+5000</f>
        <v>20000</v>
      </c>
      <c r="I35" s="25">
        <f>F35+G35+H35</f>
        <v>20000</v>
      </c>
      <c r="J35" s="25"/>
      <c r="K35" s="25"/>
      <c r="L35" s="31">
        <v>5000</v>
      </c>
      <c r="M35" s="25">
        <f t="shared" ref="M35:M37" si="8">J35+K35+L35</f>
        <v>5000</v>
      </c>
      <c r="N35" s="26">
        <v>10000</v>
      </c>
      <c r="O35" s="26">
        <v>10000</v>
      </c>
    </row>
    <row r="36" spans="1:15" x14ac:dyDescent="0.25">
      <c r="A36" s="24" t="s">
        <v>114</v>
      </c>
      <c r="B36" s="26"/>
      <c r="C36" s="26"/>
      <c r="D36" s="26"/>
      <c r="E36" s="26"/>
      <c r="F36" s="25"/>
      <c r="G36" s="25"/>
      <c r="H36" s="25"/>
      <c r="I36" s="25"/>
      <c r="J36" s="25"/>
      <c r="K36" s="25"/>
      <c r="L36" s="25"/>
      <c r="M36" s="25">
        <f t="shared" si="8"/>
        <v>0</v>
      </c>
      <c r="N36" s="26">
        <v>30000</v>
      </c>
      <c r="O36" s="26"/>
    </row>
    <row r="37" spans="1:15" x14ac:dyDescent="0.25">
      <c r="A37" s="24" t="s">
        <v>115</v>
      </c>
      <c r="B37" s="26"/>
      <c r="C37" s="26"/>
      <c r="D37" s="26"/>
      <c r="E37" s="26"/>
      <c r="F37" s="25"/>
      <c r="G37" s="25">
        <v>20000</v>
      </c>
      <c r="H37" s="25"/>
      <c r="I37" s="25"/>
      <c r="J37" s="25">
        <v>20000</v>
      </c>
      <c r="K37" s="25">
        <v>20000</v>
      </c>
      <c r="L37" s="25"/>
      <c r="M37" s="25">
        <f t="shared" si="8"/>
        <v>40000</v>
      </c>
      <c r="N37" s="26"/>
      <c r="O37" s="26"/>
    </row>
    <row r="38" spans="1:15" x14ac:dyDescent="0.25">
      <c r="A38" s="24" t="s">
        <v>116</v>
      </c>
      <c r="B38" s="26"/>
      <c r="C38" s="26"/>
      <c r="D38" s="26"/>
      <c r="E38" s="26"/>
      <c r="F38" s="25"/>
      <c r="G38" s="25"/>
      <c r="H38" s="25"/>
      <c r="I38" s="25"/>
      <c r="J38" s="25"/>
      <c r="K38" s="25"/>
      <c r="L38" s="25"/>
      <c r="M38" s="26"/>
      <c r="N38" s="26">
        <v>200000</v>
      </c>
      <c r="O38" s="26"/>
    </row>
    <row r="39" spans="1:15" x14ac:dyDescent="0.25">
      <c r="A39" s="21" t="s">
        <v>117</v>
      </c>
      <c r="B39" s="22">
        <f>SUM(B34:B35)</f>
        <v>15000</v>
      </c>
      <c r="C39" s="22">
        <f>SUM(C34:C35)</f>
        <v>20000</v>
      </c>
      <c r="D39" s="22"/>
      <c r="E39" s="22">
        <f>SUM(E34:E35)</f>
        <v>35000</v>
      </c>
      <c r="F39" s="23">
        <f>SUM(F34:F37)</f>
        <v>0</v>
      </c>
      <c r="G39" s="23">
        <f>SUM(G34:G37)</f>
        <v>50000</v>
      </c>
      <c r="H39" s="23">
        <f>SUM(H34:H36)</f>
        <v>30575</v>
      </c>
      <c r="I39" s="23">
        <f>SUM(F39:H39)</f>
        <v>80575</v>
      </c>
      <c r="J39" s="23">
        <f t="shared" ref="J39:O39" si="9">SUM(J34:J37)</f>
        <v>20000</v>
      </c>
      <c r="K39" s="23">
        <f t="shared" si="9"/>
        <v>50000</v>
      </c>
      <c r="L39" s="23">
        <f t="shared" si="9"/>
        <v>35000</v>
      </c>
      <c r="M39" s="28">
        <f t="shared" si="9"/>
        <v>105000</v>
      </c>
      <c r="N39" s="28">
        <f>SUM(N34:N38)</f>
        <v>260000</v>
      </c>
      <c r="O39" s="28">
        <f t="shared" si="9"/>
        <v>30000</v>
      </c>
    </row>
    <row r="40" spans="1:15" ht="25.5" customHeight="1" x14ac:dyDescent="0.25">
      <c r="A40" s="21" t="s">
        <v>15</v>
      </c>
      <c r="B40" s="22"/>
      <c r="C40" s="22"/>
      <c r="D40" s="22"/>
      <c r="E40" s="22"/>
      <c r="F40" s="22" t="s">
        <v>68</v>
      </c>
      <c r="G40" s="22" t="s">
        <v>78</v>
      </c>
      <c r="H40" s="22" t="s">
        <v>70</v>
      </c>
      <c r="I40" s="22" t="s">
        <v>79</v>
      </c>
      <c r="J40" s="23" t="s">
        <v>80</v>
      </c>
      <c r="K40" s="23" t="s">
        <v>81</v>
      </c>
      <c r="L40" s="23" t="s">
        <v>82</v>
      </c>
      <c r="M40" s="23" t="s">
        <v>83</v>
      </c>
      <c r="N40" s="22" t="s">
        <v>84</v>
      </c>
      <c r="O40" s="22" t="s">
        <v>85</v>
      </c>
    </row>
    <row r="41" spans="1:15" x14ac:dyDescent="0.25">
      <c r="A41" s="24" t="s">
        <v>118</v>
      </c>
      <c r="B41" s="26"/>
      <c r="C41" s="26"/>
      <c r="D41" s="26"/>
      <c r="E41" s="26"/>
      <c r="F41" s="25"/>
      <c r="G41" s="25">
        <f>200000+10000+30000</f>
        <v>240000</v>
      </c>
      <c r="H41" s="25"/>
      <c r="I41" s="25">
        <f>F41+G41+H41</f>
        <v>240000</v>
      </c>
      <c r="J41" s="25">
        <v>40000</v>
      </c>
      <c r="K41" s="25">
        <v>35000</v>
      </c>
      <c r="L41" s="25"/>
      <c r="M41" s="25">
        <f>J41+K41+L41</f>
        <v>75000</v>
      </c>
      <c r="N41" s="26">
        <v>100000</v>
      </c>
      <c r="O41" s="26">
        <v>50000</v>
      </c>
    </row>
    <row r="42" spans="1:15" ht="31.5" x14ac:dyDescent="0.25">
      <c r="A42" s="24" t="s">
        <v>119</v>
      </c>
      <c r="B42" s="26"/>
      <c r="C42" s="26"/>
      <c r="D42" s="26"/>
      <c r="E42" s="26"/>
      <c r="F42" s="25">
        <v>17738</v>
      </c>
      <c r="G42" s="25">
        <f>70000+32262</f>
        <v>102262</v>
      </c>
      <c r="H42" s="25"/>
      <c r="I42" s="25">
        <f>F42+G42+H42</f>
        <v>120000</v>
      </c>
      <c r="J42" s="25">
        <v>40000</v>
      </c>
      <c r="K42" s="25">
        <v>35000</v>
      </c>
      <c r="L42" s="25"/>
      <c r="M42" s="25">
        <f t="shared" ref="M42" si="10">J42+K42+L42</f>
        <v>75000</v>
      </c>
      <c r="N42" s="26">
        <v>50000</v>
      </c>
      <c r="O42" s="26">
        <v>50000</v>
      </c>
    </row>
    <row r="43" spans="1:15" x14ac:dyDescent="0.25">
      <c r="A43" s="21" t="s">
        <v>120</v>
      </c>
      <c r="B43" s="22">
        <f>SUM(B41:B41)</f>
        <v>0</v>
      </c>
      <c r="C43" s="22">
        <f>SUM(C41:C41)</f>
        <v>0</v>
      </c>
      <c r="D43" s="22"/>
      <c r="E43" s="22">
        <f>SUM(E41:E41)</f>
        <v>0</v>
      </c>
      <c r="F43" s="23">
        <f t="shared" ref="F43:M43" si="11">SUM(F41:F42)</f>
        <v>17738</v>
      </c>
      <c r="G43" s="23">
        <f t="shared" si="11"/>
        <v>342262</v>
      </c>
      <c r="H43" s="23">
        <f t="shared" si="11"/>
        <v>0</v>
      </c>
      <c r="I43" s="23">
        <f t="shared" si="11"/>
        <v>360000</v>
      </c>
      <c r="J43" s="23">
        <f t="shared" si="11"/>
        <v>80000</v>
      </c>
      <c r="K43" s="23">
        <f t="shared" si="11"/>
        <v>70000</v>
      </c>
      <c r="L43" s="23">
        <f t="shared" si="11"/>
        <v>0</v>
      </c>
      <c r="M43" s="27">
        <f t="shared" si="11"/>
        <v>150000</v>
      </c>
      <c r="N43" s="28">
        <f>SUM(N41:N42)</f>
        <v>150000</v>
      </c>
      <c r="O43" s="28">
        <f>SUM(O41:O42)</f>
        <v>100000</v>
      </c>
    </row>
    <row r="44" spans="1:15" ht="19.5" customHeight="1" x14ac:dyDescent="0.25">
      <c r="A44" s="21" t="s">
        <v>121</v>
      </c>
      <c r="B44" s="22"/>
      <c r="C44" s="22"/>
      <c r="D44" s="22"/>
      <c r="E44" s="22"/>
      <c r="F44" s="23"/>
      <c r="G44" s="23"/>
      <c r="H44" s="23"/>
      <c r="I44" s="23"/>
      <c r="J44" s="23" t="s">
        <v>80</v>
      </c>
      <c r="K44" s="23" t="s">
        <v>81</v>
      </c>
      <c r="L44" s="23" t="s">
        <v>82</v>
      </c>
      <c r="M44" s="23" t="s">
        <v>83</v>
      </c>
      <c r="N44" s="22" t="s">
        <v>84</v>
      </c>
      <c r="O44" s="22" t="s">
        <v>85</v>
      </c>
    </row>
    <row r="45" spans="1:15" x14ac:dyDescent="0.25">
      <c r="A45" s="24" t="s">
        <v>122</v>
      </c>
      <c r="B45" s="26">
        <v>10000</v>
      </c>
      <c r="C45" s="26">
        <v>10000</v>
      </c>
      <c r="D45" s="26">
        <v>3658</v>
      </c>
      <c r="E45" s="26">
        <f>B45+C45+D45</f>
        <v>23658</v>
      </c>
      <c r="F45" s="25"/>
      <c r="G45" s="25">
        <v>200000</v>
      </c>
      <c r="H45" s="25"/>
      <c r="I45" s="25">
        <f>F45+G45+H45</f>
        <v>200000</v>
      </c>
      <c r="J45" s="25">
        <v>100000</v>
      </c>
      <c r="K45" s="25">
        <v>50000</v>
      </c>
      <c r="L45" s="31">
        <v>50101</v>
      </c>
      <c r="M45" s="25">
        <f>SUM(J45:L45)</f>
        <v>200101</v>
      </c>
      <c r="N45" s="26">
        <v>50000</v>
      </c>
      <c r="O45" s="26">
        <v>50000</v>
      </c>
    </row>
    <row r="46" spans="1:15" x14ac:dyDescent="0.25">
      <c r="A46" s="24" t="s">
        <v>123</v>
      </c>
      <c r="B46" s="26"/>
      <c r="C46" s="26"/>
      <c r="D46" s="26"/>
      <c r="E46" s="26"/>
      <c r="F46" s="25"/>
      <c r="G46" s="25"/>
      <c r="H46" s="25"/>
      <c r="I46" s="25"/>
      <c r="J46" s="25">
        <v>50000</v>
      </c>
      <c r="K46" s="25">
        <v>40000</v>
      </c>
      <c r="L46" s="31">
        <v>10000</v>
      </c>
      <c r="M46" s="25">
        <f>J46+K46+L46</f>
        <v>100000</v>
      </c>
      <c r="N46" s="26">
        <v>150000</v>
      </c>
      <c r="O46" s="26">
        <v>100000</v>
      </c>
    </row>
    <row r="47" spans="1:15" x14ac:dyDescent="0.25">
      <c r="A47" s="21" t="s">
        <v>124</v>
      </c>
      <c r="B47" s="22">
        <f t="shared" ref="B47:I47" si="12">SUM(B45:B45)</f>
        <v>10000</v>
      </c>
      <c r="C47" s="22">
        <f t="shared" si="12"/>
        <v>10000</v>
      </c>
      <c r="D47" s="22">
        <f t="shared" si="12"/>
        <v>3658</v>
      </c>
      <c r="E47" s="22">
        <f t="shared" si="12"/>
        <v>23658</v>
      </c>
      <c r="F47" s="23">
        <f t="shared" si="12"/>
        <v>0</v>
      </c>
      <c r="G47" s="23">
        <f t="shared" si="12"/>
        <v>200000</v>
      </c>
      <c r="H47" s="23">
        <f t="shared" si="12"/>
        <v>0</v>
      </c>
      <c r="I47" s="23">
        <f t="shared" si="12"/>
        <v>200000</v>
      </c>
      <c r="J47" s="23">
        <f t="shared" ref="J47:O47" si="13">SUM(J45:J46)</f>
        <v>150000</v>
      </c>
      <c r="K47" s="23">
        <f t="shared" si="13"/>
        <v>90000</v>
      </c>
      <c r="L47" s="23">
        <f t="shared" si="13"/>
        <v>60101</v>
      </c>
      <c r="M47" s="23">
        <f t="shared" si="13"/>
        <v>300101</v>
      </c>
      <c r="N47" s="22">
        <f t="shared" si="13"/>
        <v>200000</v>
      </c>
      <c r="O47" s="22">
        <f t="shared" si="13"/>
        <v>150000</v>
      </c>
    </row>
    <row r="48" spans="1:15" ht="30" x14ac:dyDescent="0.25">
      <c r="A48" s="36" t="s">
        <v>125</v>
      </c>
      <c r="B48" s="22" t="e">
        <f>B14+B21+B24+B29+B39+B43+B47</f>
        <v>#REF!</v>
      </c>
      <c r="C48" s="22">
        <f>C14+C21+C24+C29+C39+C43+C47</f>
        <v>665000</v>
      </c>
      <c r="D48" s="22">
        <f>D47</f>
        <v>3658</v>
      </c>
      <c r="E48" s="22" t="e">
        <f>B48+C48+D48</f>
        <v>#REF!</v>
      </c>
      <c r="F48" s="22">
        <f>F5+F14+F21+F24+F29+F39+F43+F47</f>
        <v>487678</v>
      </c>
      <c r="G48" s="22" t="e">
        <f>G5+G14+G21+G24+G29+G39+G43+G47</f>
        <v>#REF!</v>
      </c>
      <c r="H48" s="22" t="e">
        <f>H5+H14+H21+H24+H29+H39+H43+H47</f>
        <v>#REF!</v>
      </c>
      <c r="I48" s="22" t="e">
        <f>F48+G48+H48</f>
        <v>#REF!</v>
      </c>
      <c r="J48" s="22">
        <f>J5+J14+J21+J24+J29+J39+J43+J47</f>
        <v>521423</v>
      </c>
      <c r="K48" s="22">
        <f t="shared" ref="K48:L48" si="14">K5+K14+K21+K24+K29+K39+K43+K47</f>
        <v>4330291</v>
      </c>
      <c r="L48" s="22">
        <f t="shared" si="14"/>
        <v>165101</v>
      </c>
      <c r="M48" s="22">
        <f>M5+M14+M21+M24+M29+M39+M43+M47</f>
        <v>5016815</v>
      </c>
      <c r="N48" s="22">
        <f>N5+N14+N21+N24+N29+N39+N43+N47</f>
        <v>5202280</v>
      </c>
      <c r="O48" s="22">
        <f>O5+O14+O21+O24+O29+O39+O43+O47</f>
        <v>5430104</v>
      </c>
    </row>
    <row r="49" spans="1:15" x14ac:dyDescent="0.25">
      <c r="A49" s="33"/>
      <c r="B49" s="34"/>
      <c r="C49" s="34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4"/>
      <c r="O49" s="34"/>
    </row>
    <row r="50" spans="1:15" x14ac:dyDescent="0.25">
      <c r="A50" s="32"/>
      <c r="B50" s="33"/>
      <c r="C50" s="33"/>
      <c r="D50" s="33"/>
      <c r="E50" s="33"/>
      <c r="F50" s="33"/>
      <c r="G50" s="33"/>
      <c r="H50" s="33"/>
      <c r="I50" s="37"/>
      <c r="J50" s="37"/>
      <c r="M50" s="37"/>
    </row>
    <row r="51" spans="1:15" x14ac:dyDescent="0.25">
      <c r="A51" s="38"/>
      <c r="B51" s="39"/>
      <c r="C51" s="34"/>
      <c r="D51" s="34"/>
      <c r="E51" s="34"/>
      <c r="F51" s="34"/>
      <c r="G51" s="34"/>
      <c r="H51" s="34"/>
      <c r="I51" s="37"/>
      <c r="J51" s="37"/>
      <c r="K51" s="37"/>
      <c r="L51" s="37"/>
      <c r="M51" s="37"/>
    </row>
    <row r="52" spans="1:15" x14ac:dyDescent="0.25">
      <c r="A52" s="38"/>
      <c r="B52" s="39"/>
      <c r="C52" s="34"/>
      <c r="D52" s="34"/>
      <c r="E52" s="34"/>
      <c r="F52" s="34"/>
      <c r="G52" s="34"/>
      <c r="H52" s="34"/>
      <c r="I52" s="37"/>
      <c r="J52" s="37"/>
      <c r="K52" s="37"/>
      <c r="L52" s="37"/>
      <c r="M52" s="37"/>
    </row>
    <row r="53" spans="1:15" x14ac:dyDescent="0.25">
      <c r="A53" s="38"/>
      <c r="B53" s="39"/>
      <c r="C53" s="34"/>
      <c r="D53" s="34"/>
      <c r="E53" s="34"/>
      <c r="F53" s="34"/>
      <c r="G53" s="34"/>
      <c r="H53" s="34"/>
      <c r="I53" s="37"/>
      <c r="J53" s="37"/>
      <c r="K53" s="37"/>
      <c r="L53" s="37"/>
      <c r="M53" s="37"/>
    </row>
    <row r="54" spans="1:15" x14ac:dyDescent="0.25">
      <c r="A54" s="38"/>
      <c r="B54" s="39"/>
      <c r="C54" s="34"/>
      <c r="D54" s="34"/>
      <c r="E54" s="34"/>
      <c r="F54" s="34"/>
      <c r="G54" s="34"/>
      <c r="H54" s="34"/>
      <c r="I54" s="37"/>
      <c r="J54" s="37"/>
      <c r="K54" s="37"/>
      <c r="L54" s="37"/>
      <c r="M54" s="37"/>
    </row>
    <row r="55" spans="1:15" x14ac:dyDescent="0.25">
      <c r="A55" s="38"/>
      <c r="B55" s="39"/>
      <c r="C55" s="34"/>
      <c r="D55" s="34"/>
      <c r="E55" s="34"/>
      <c r="F55" s="34"/>
      <c r="G55" s="34"/>
      <c r="H55" s="34"/>
      <c r="I55" s="37"/>
      <c r="J55" s="37"/>
      <c r="K55" s="37"/>
      <c r="L55" s="37"/>
      <c r="M55" s="37"/>
    </row>
    <row r="56" spans="1:15" x14ac:dyDescent="0.25">
      <c r="A56" s="38"/>
      <c r="B56" s="39"/>
      <c r="C56" s="34"/>
      <c r="D56" s="34"/>
      <c r="E56" s="34"/>
      <c r="F56" s="34"/>
      <c r="G56" s="34"/>
      <c r="H56" s="34"/>
      <c r="I56" s="37"/>
      <c r="J56" s="37"/>
      <c r="K56" s="37"/>
      <c r="L56" s="37"/>
      <c r="M56" s="37"/>
    </row>
    <row r="57" spans="1:15" x14ac:dyDescent="0.25">
      <c r="A57" s="38"/>
      <c r="B57" s="39"/>
      <c r="C57" s="34"/>
      <c r="D57" s="34"/>
      <c r="E57" s="34"/>
      <c r="F57" s="34"/>
      <c r="G57" s="34"/>
      <c r="H57" s="34"/>
      <c r="I57" s="37"/>
      <c r="J57" s="37"/>
      <c r="K57" s="37"/>
      <c r="L57" s="37"/>
      <c r="M57" s="37"/>
    </row>
    <row r="58" spans="1:15" x14ac:dyDescent="0.25">
      <c r="A58" s="38"/>
      <c r="B58" s="39"/>
      <c r="C58" s="34"/>
      <c r="D58" s="34"/>
      <c r="E58" s="34"/>
      <c r="F58" s="34"/>
      <c r="G58" s="34"/>
      <c r="H58" s="34"/>
      <c r="I58" s="37"/>
      <c r="J58" s="37"/>
      <c r="K58" s="37"/>
      <c r="L58" s="37"/>
      <c r="M58" s="37"/>
    </row>
    <row r="59" spans="1:15" x14ac:dyDescent="0.25">
      <c r="A59" s="38"/>
      <c r="B59" s="39"/>
      <c r="C59" s="34"/>
      <c r="D59" s="34"/>
      <c r="E59" s="34"/>
      <c r="F59" s="34"/>
      <c r="G59" s="34"/>
      <c r="H59" s="34"/>
      <c r="I59" s="37"/>
      <c r="J59" s="37"/>
      <c r="K59" s="37"/>
      <c r="L59" s="37"/>
      <c r="M59" s="37"/>
    </row>
    <row r="60" spans="1:15" x14ac:dyDescent="0.25">
      <c r="A60" s="38"/>
      <c r="B60" s="39"/>
      <c r="C60" s="34"/>
      <c r="D60" s="34"/>
      <c r="E60" s="34"/>
      <c r="F60" s="34"/>
      <c r="G60" s="34"/>
      <c r="H60" s="34"/>
      <c r="I60" s="37"/>
      <c r="J60" s="37"/>
      <c r="K60" s="37"/>
      <c r="L60" s="37"/>
      <c r="M60" s="37"/>
    </row>
    <row r="61" spans="1:15" x14ac:dyDescent="0.25">
      <c r="A61" s="38"/>
      <c r="B61" s="39"/>
      <c r="C61" s="34"/>
      <c r="D61" s="34"/>
      <c r="E61" s="34"/>
      <c r="F61" s="34"/>
      <c r="G61" s="34"/>
      <c r="H61" s="34"/>
      <c r="I61" s="37"/>
      <c r="J61" s="37"/>
      <c r="K61" s="37"/>
      <c r="L61" s="37"/>
      <c r="M61" s="37"/>
    </row>
    <row r="62" spans="1:15" x14ac:dyDescent="0.25">
      <c r="A62" s="38"/>
      <c r="B62" s="39"/>
      <c r="C62" s="34"/>
      <c r="D62" s="34"/>
      <c r="E62" s="34"/>
      <c r="F62" s="34"/>
      <c r="G62" s="34"/>
      <c r="H62" s="34"/>
      <c r="I62" s="37"/>
      <c r="J62" s="37"/>
      <c r="K62" s="37"/>
      <c r="L62" s="37"/>
      <c r="M62" s="37"/>
    </row>
    <row r="63" spans="1:15" x14ac:dyDescent="0.25">
      <c r="A63" s="38"/>
      <c r="B63" s="39"/>
      <c r="C63" s="34"/>
      <c r="D63" s="34"/>
      <c r="E63" s="34"/>
      <c r="F63" s="34"/>
      <c r="G63" s="34"/>
      <c r="H63" s="34"/>
      <c r="I63" s="37"/>
      <c r="J63" s="37"/>
      <c r="K63" s="37"/>
      <c r="L63" s="37"/>
      <c r="M63" s="37"/>
    </row>
    <row r="64" spans="1:15" x14ac:dyDescent="0.25">
      <c r="A64" s="38"/>
      <c r="B64" s="39"/>
      <c r="C64" s="34"/>
      <c r="D64" s="34"/>
      <c r="E64" s="34"/>
      <c r="F64" s="34"/>
      <c r="G64" s="34"/>
      <c r="H64" s="34"/>
      <c r="I64" s="37"/>
      <c r="J64" s="37"/>
      <c r="K64" s="37"/>
      <c r="L64" s="37"/>
      <c r="M64" s="37"/>
    </row>
    <row r="65" spans="1:15" x14ac:dyDescent="0.25">
      <c r="A65" s="38"/>
      <c r="B65" s="39"/>
      <c r="C65" s="34"/>
      <c r="D65" s="34"/>
      <c r="E65" s="34"/>
      <c r="F65" s="34"/>
      <c r="G65" s="34"/>
      <c r="H65" s="34"/>
      <c r="I65" s="37"/>
      <c r="J65" s="37"/>
      <c r="K65" s="37"/>
      <c r="L65" s="37"/>
      <c r="M65" s="37"/>
    </row>
    <row r="66" spans="1:15" x14ac:dyDescent="0.25">
      <c r="A66" s="38"/>
      <c r="B66" s="39"/>
      <c r="C66" s="34"/>
      <c r="D66" s="34"/>
      <c r="E66" s="34"/>
      <c r="F66" s="34"/>
      <c r="G66" s="34"/>
      <c r="H66" s="34"/>
      <c r="I66" s="37"/>
      <c r="J66" s="37"/>
      <c r="K66" s="37"/>
      <c r="L66" s="37"/>
      <c r="M66" s="37"/>
    </row>
    <row r="67" spans="1:15" x14ac:dyDescent="0.25">
      <c r="A67" s="38"/>
      <c r="B67" s="39"/>
      <c r="C67" s="34"/>
      <c r="D67" s="34"/>
      <c r="E67" s="34"/>
      <c r="F67" s="34"/>
      <c r="G67" s="34"/>
      <c r="H67" s="34"/>
      <c r="I67" s="40"/>
      <c r="J67" s="40"/>
      <c r="K67" s="40"/>
      <c r="L67" s="41">
        <v>2022</v>
      </c>
      <c r="M67" s="40"/>
    </row>
    <row r="68" spans="1:15" x14ac:dyDescent="0.25">
      <c r="A68" s="42"/>
      <c r="B68" s="43"/>
      <c r="C68" s="34"/>
      <c r="D68" s="34"/>
      <c r="E68" s="34"/>
      <c r="F68" s="34"/>
      <c r="G68" s="34"/>
      <c r="H68" s="34"/>
      <c r="I68" s="37"/>
      <c r="J68" s="37"/>
      <c r="K68" s="44"/>
      <c r="L68" s="44" t="s">
        <v>68</v>
      </c>
      <c r="M68" s="26" t="s">
        <v>69</v>
      </c>
      <c r="N68" s="26" t="s">
        <v>70</v>
      </c>
      <c r="O68" s="26" t="s">
        <v>83</v>
      </c>
    </row>
    <row r="69" spans="1:15" x14ac:dyDescent="0.25">
      <c r="A69" s="42"/>
      <c r="B69" s="43"/>
      <c r="C69" s="34"/>
      <c r="D69" s="34"/>
      <c r="E69" s="34"/>
      <c r="F69" s="34"/>
      <c r="G69" s="34"/>
      <c r="H69" s="34"/>
      <c r="I69" s="33"/>
      <c r="J69" s="33"/>
      <c r="K69" s="45" t="s">
        <v>126</v>
      </c>
      <c r="L69" s="46"/>
      <c r="M69" s="45"/>
      <c r="N69" s="45"/>
      <c r="O69" s="46"/>
    </row>
    <row r="70" spans="1:15" x14ac:dyDescent="0.25">
      <c r="A70" s="42"/>
      <c r="B70" s="43"/>
      <c r="K70" s="46" t="s">
        <v>127</v>
      </c>
      <c r="L70" s="46">
        <v>4181000</v>
      </c>
      <c r="M70" s="46">
        <v>138000</v>
      </c>
      <c r="N70" s="46">
        <v>31000</v>
      </c>
      <c r="O70" s="46">
        <f>L70+M70+N70</f>
        <v>4350000</v>
      </c>
    </row>
    <row r="71" spans="1:15" x14ac:dyDescent="0.25">
      <c r="A71" s="47"/>
      <c r="B71" s="48"/>
      <c r="C71" s="48"/>
      <c r="D71" s="48"/>
      <c r="E71" s="48"/>
      <c r="F71" s="48"/>
      <c r="G71" s="48"/>
      <c r="H71" s="48"/>
      <c r="I71" s="34"/>
      <c r="J71" s="34"/>
      <c r="K71" s="46" t="s">
        <v>128</v>
      </c>
      <c r="L71" s="46">
        <v>831017</v>
      </c>
      <c r="M71" s="46">
        <v>356033</v>
      </c>
      <c r="N71" s="46">
        <v>101629</v>
      </c>
      <c r="O71" s="46">
        <f t="shared" ref="O71:O74" si="15">L71+M71+N71</f>
        <v>1288679</v>
      </c>
    </row>
    <row r="72" spans="1:15" x14ac:dyDescent="0.25">
      <c r="A72" s="42"/>
      <c r="B72" s="43"/>
      <c r="C72" s="34"/>
      <c r="D72" s="34"/>
      <c r="E72" s="34"/>
      <c r="F72" s="34"/>
      <c r="G72" s="34"/>
      <c r="H72" s="34"/>
      <c r="I72" s="34"/>
      <c r="J72" s="34"/>
      <c r="K72" s="46" t="s">
        <v>129</v>
      </c>
      <c r="L72" s="46">
        <v>200000</v>
      </c>
      <c r="M72" s="46">
        <v>80675</v>
      </c>
      <c r="N72" s="46">
        <v>36000</v>
      </c>
      <c r="O72" s="46">
        <f t="shared" si="15"/>
        <v>316675</v>
      </c>
    </row>
    <row r="73" spans="1:15" x14ac:dyDescent="0.25">
      <c r="A73" s="38"/>
      <c r="B73" s="39"/>
      <c r="C73" s="34"/>
      <c r="D73" s="34"/>
      <c r="E73" s="34"/>
      <c r="F73" s="34"/>
      <c r="G73" s="34"/>
      <c r="H73" s="34"/>
      <c r="I73" s="34"/>
      <c r="J73" s="34"/>
      <c r="K73" s="46" t="s">
        <v>130</v>
      </c>
      <c r="L73" s="46">
        <v>180000</v>
      </c>
      <c r="M73" s="46">
        <v>95000</v>
      </c>
      <c r="N73" s="46">
        <v>575000</v>
      </c>
      <c r="O73" s="46">
        <f t="shared" si="15"/>
        <v>850000</v>
      </c>
    </row>
    <row r="74" spans="1:15" x14ac:dyDescent="0.25">
      <c r="A74" s="49"/>
      <c r="B74" s="34"/>
      <c r="C74" s="34"/>
      <c r="D74" s="34"/>
      <c r="E74" s="34"/>
      <c r="F74" s="34"/>
      <c r="G74" s="34"/>
      <c r="H74" s="34"/>
      <c r="I74" s="34"/>
      <c r="J74" s="34"/>
      <c r="K74" s="46" t="s">
        <v>131</v>
      </c>
      <c r="L74" s="46">
        <v>521423</v>
      </c>
      <c r="M74" s="46">
        <f>4280292+50000</f>
        <v>4330292</v>
      </c>
      <c r="N74" s="46">
        <v>165101</v>
      </c>
      <c r="O74" s="46">
        <f t="shared" si="15"/>
        <v>5016816</v>
      </c>
    </row>
    <row r="75" spans="1:15" x14ac:dyDescent="0.25">
      <c r="A75" s="49"/>
      <c r="B75" s="34"/>
      <c r="C75" s="34"/>
      <c r="D75" s="34"/>
      <c r="E75" s="34"/>
      <c r="F75" s="34"/>
      <c r="G75" s="34"/>
      <c r="H75" s="34"/>
      <c r="I75" s="34"/>
      <c r="J75" s="34"/>
      <c r="K75" s="46" t="s">
        <v>71</v>
      </c>
      <c r="L75" s="46">
        <f>SUM(L70:L74)</f>
        <v>5913440</v>
      </c>
      <c r="M75" s="46">
        <f>SUM(M70:M74)</f>
        <v>5000000</v>
      </c>
      <c r="N75" s="46">
        <f>SUM(N70:N74)</f>
        <v>908730</v>
      </c>
      <c r="O75" s="46">
        <f>SUM(O70:O74)</f>
        <v>11822170</v>
      </c>
    </row>
    <row r="76" spans="1:15" x14ac:dyDescent="0.25">
      <c r="A76" s="49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5" x14ac:dyDescent="0.25">
      <c r="A77" s="49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9" spans="1:15" x14ac:dyDescent="0.25">
      <c r="L79" s="51">
        <v>2023</v>
      </c>
    </row>
    <row r="80" spans="1:15" x14ac:dyDescent="0.25">
      <c r="K80" s="44"/>
      <c r="L80" s="44" t="s">
        <v>68</v>
      </c>
      <c r="M80" s="26" t="s">
        <v>69</v>
      </c>
      <c r="N80" s="26" t="s">
        <v>70</v>
      </c>
      <c r="O80" s="26" t="s">
        <v>71</v>
      </c>
    </row>
    <row r="81" spans="11:15" x14ac:dyDescent="0.25">
      <c r="K81" s="45" t="s">
        <v>126</v>
      </c>
      <c r="L81" s="46">
        <v>6192147</v>
      </c>
      <c r="M81" s="45">
        <v>5000000</v>
      </c>
      <c r="N81" s="45">
        <v>959378</v>
      </c>
      <c r="O81" s="46">
        <v>11882169</v>
      </c>
    </row>
    <row r="82" spans="11:15" x14ac:dyDescent="0.25">
      <c r="K82" s="46" t="s">
        <v>127</v>
      </c>
      <c r="L82" s="46">
        <v>4224609</v>
      </c>
      <c r="M82" s="46">
        <v>138000</v>
      </c>
      <c r="N82" s="46">
        <v>31000</v>
      </c>
      <c r="O82" s="46">
        <f>L82+M82+N82</f>
        <v>4393609</v>
      </c>
    </row>
    <row r="83" spans="11:15" x14ac:dyDescent="0.25">
      <c r="K83" s="46" t="s">
        <v>128</v>
      </c>
      <c r="L83" s="46">
        <v>877948</v>
      </c>
      <c r="M83" s="46">
        <v>356033</v>
      </c>
      <c r="N83" s="46">
        <v>113629</v>
      </c>
      <c r="O83" s="46">
        <f>L83+M83+N83</f>
        <v>1347610</v>
      </c>
    </row>
    <row r="84" spans="11:15" x14ac:dyDescent="0.25">
      <c r="K84" s="46" t="s">
        <v>129</v>
      </c>
      <c r="L84" s="46">
        <v>205000</v>
      </c>
      <c r="M84" s="46">
        <v>80675</v>
      </c>
      <c r="N84" s="46">
        <v>52171</v>
      </c>
      <c r="O84" s="46">
        <f>L84+M84+N84</f>
        <v>337846</v>
      </c>
    </row>
    <row r="85" spans="11:15" x14ac:dyDescent="0.25">
      <c r="K85" s="46" t="s">
        <v>130</v>
      </c>
      <c r="L85" s="46">
        <v>210000</v>
      </c>
      <c r="M85" s="46">
        <v>145000</v>
      </c>
      <c r="N85" s="46">
        <v>630412</v>
      </c>
      <c r="O85" s="46">
        <f>L85+M85+N85</f>
        <v>985412</v>
      </c>
    </row>
    <row r="86" spans="11:15" x14ac:dyDescent="0.25">
      <c r="K86" s="46" t="s">
        <v>131</v>
      </c>
      <c r="L86" s="46">
        <f>521423+216139</f>
        <v>737562</v>
      </c>
      <c r="M86" s="46">
        <f>4280292+49999+1-50000</f>
        <v>4280292</v>
      </c>
      <c r="N86" s="46">
        <f>165101+19325</f>
        <v>184426</v>
      </c>
      <c r="O86" s="46">
        <f>L86+M86+N86</f>
        <v>5202280</v>
      </c>
    </row>
    <row r="87" spans="11:15" x14ac:dyDescent="0.25">
      <c r="K87" s="46" t="s">
        <v>71</v>
      </c>
      <c r="L87" s="46">
        <f>L82+L83+L84+L85+L86</f>
        <v>6255119</v>
      </c>
      <c r="M87" s="46">
        <f>M82+M83+M84+M85+M86</f>
        <v>5000000</v>
      </c>
      <c r="N87" s="46">
        <f>SUM(N82:N86)</f>
        <v>1011638</v>
      </c>
      <c r="O87" s="46">
        <f>SUM(O82:O86)</f>
        <v>12266757</v>
      </c>
    </row>
    <row r="88" spans="11:15" x14ac:dyDescent="0.25">
      <c r="M88" s="20">
        <f>M81-M87</f>
        <v>0</v>
      </c>
    </row>
    <row r="92" spans="11:15" x14ac:dyDescent="0.25">
      <c r="L92" s="51" t="s">
        <v>132</v>
      </c>
    </row>
    <row r="93" spans="11:15" x14ac:dyDescent="0.25">
      <c r="K93" s="44"/>
      <c r="L93" s="44" t="s">
        <v>68</v>
      </c>
      <c r="M93" s="26" t="s">
        <v>69</v>
      </c>
      <c r="N93" s="26" t="s">
        <v>70</v>
      </c>
      <c r="O93" s="26" t="s">
        <v>71</v>
      </c>
    </row>
    <row r="94" spans="11:15" x14ac:dyDescent="0.25">
      <c r="K94" s="45" t="s">
        <v>126</v>
      </c>
      <c r="L94" s="46">
        <v>6493320</v>
      </c>
      <c r="M94" s="45">
        <v>5000000</v>
      </c>
      <c r="N94" s="45">
        <v>1001261</v>
      </c>
      <c r="O94" s="46">
        <f t="shared" ref="O94:O99" si="16">L94+M94+N94</f>
        <v>12494581</v>
      </c>
    </row>
    <row r="95" spans="11:15" x14ac:dyDescent="0.25">
      <c r="K95" s="46" t="s">
        <v>127</v>
      </c>
      <c r="L95" s="46">
        <f>4202750+21859</f>
        <v>4224609</v>
      </c>
      <c r="M95" s="46">
        <v>138000</v>
      </c>
      <c r="N95" s="46">
        <v>31000</v>
      </c>
      <c r="O95" s="46">
        <f t="shared" si="16"/>
        <v>4393609</v>
      </c>
    </row>
    <row r="96" spans="11:15" x14ac:dyDescent="0.25">
      <c r="K96" s="46" t="s">
        <v>128</v>
      </c>
      <c r="L96" s="46">
        <f>861835+16113</f>
        <v>877948</v>
      </c>
      <c r="M96" s="46">
        <f>200000+156033</f>
        <v>356033</v>
      </c>
      <c r="N96" s="46">
        <v>113629</v>
      </c>
      <c r="O96" s="46">
        <f t="shared" si="16"/>
        <v>1347610</v>
      </c>
    </row>
    <row r="97" spans="11:15" x14ac:dyDescent="0.25">
      <c r="K97" s="46" t="s">
        <v>129</v>
      </c>
      <c r="L97" s="46">
        <f>200000+12994</f>
        <v>212994</v>
      </c>
      <c r="M97" s="46">
        <v>80675</v>
      </c>
      <c r="N97" s="46">
        <v>44177</v>
      </c>
      <c r="O97" s="46">
        <f t="shared" si="16"/>
        <v>337846</v>
      </c>
    </row>
    <row r="98" spans="11:15" x14ac:dyDescent="0.25">
      <c r="K98" s="46" t="s">
        <v>130</v>
      </c>
      <c r="L98" s="46">
        <f>190000+22383</f>
        <v>212383</v>
      </c>
      <c r="M98" s="46">
        <v>145000</v>
      </c>
      <c r="N98" s="46">
        <f>586146+41883</f>
        <v>628029</v>
      </c>
      <c r="O98" s="46">
        <f t="shared" si="16"/>
        <v>985412</v>
      </c>
    </row>
    <row r="99" spans="11:15" x14ac:dyDescent="0.25">
      <c r="K99" s="46" t="s">
        <v>131</v>
      </c>
      <c r="L99" s="46">
        <f>521423+216139+301173-73349</f>
        <v>965386</v>
      </c>
      <c r="M99" s="46">
        <f>4280292+49999+1-50000</f>
        <v>4280292</v>
      </c>
      <c r="N99" s="46">
        <f>165101+19325</f>
        <v>184426</v>
      </c>
      <c r="O99" s="46">
        <f t="shared" si="16"/>
        <v>5430104</v>
      </c>
    </row>
    <row r="100" spans="11:15" x14ac:dyDescent="0.25">
      <c r="K100" s="45" t="s">
        <v>71</v>
      </c>
      <c r="L100" s="45">
        <f>L95+L96+L97+L98+L99</f>
        <v>6493320</v>
      </c>
      <c r="M100" s="45">
        <f>M95+M96+M97+M98+M99</f>
        <v>5000000</v>
      </c>
      <c r="N100" s="45">
        <f>SUM(N95:N99)</f>
        <v>1001261</v>
      </c>
      <c r="O100" s="45">
        <f>SUM(O95:O99)</f>
        <v>12494581</v>
      </c>
    </row>
  </sheetData>
  <mergeCells count="1">
    <mergeCell ref="A1:N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6" workbookViewId="0">
      <selection activeCell="C42" sqref="C42:D42"/>
    </sheetView>
  </sheetViews>
  <sheetFormatPr defaultColWidth="26" defaultRowHeight="15" x14ac:dyDescent="0.25"/>
  <cols>
    <col min="1" max="1" width="26" style="123"/>
    <col min="2" max="2" width="60.28515625" customWidth="1"/>
    <col min="3" max="3" width="16" customWidth="1"/>
    <col min="4" max="4" width="13" style="124" customWidth="1"/>
    <col min="5" max="5" width="13.28515625" customWidth="1"/>
    <col min="9" max="9" width="26" style="58"/>
  </cols>
  <sheetData>
    <row r="1" spans="1:9" x14ac:dyDescent="0.25">
      <c r="A1" s="87"/>
      <c r="B1" s="88"/>
      <c r="C1" s="89"/>
      <c r="D1" s="90"/>
      <c r="E1" s="91"/>
    </row>
    <row r="2" spans="1:9" s="96" customFormat="1" x14ac:dyDescent="0.25">
      <c r="A2" s="92" t="s">
        <v>175</v>
      </c>
      <c r="B2" s="93"/>
      <c r="C2" s="94" t="s">
        <v>176</v>
      </c>
      <c r="D2" s="94" t="s">
        <v>177</v>
      </c>
      <c r="E2" s="95" t="s">
        <v>178</v>
      </c>
      <c r="I2" s="97"/>
    </row>
    <row r="3" spans="1:9" x14ac:dyDescent="0.25">
      <c r="A3" s="98" t="s">
        <v>179</v>
      </c>
      <c r="B3" s="99" t="s">
        <v>180</v>
      </c>
      <c r="C3" s="100">
        <v>50000</v>
      </c>
      <c r="D3" s="101"/>
      <c r="E3" s="102">
        <f>C3+D3</f>
        <v>50000</v>
      </c>
    </row>
    <row r="4" spans="1:9" x14ac:dyDescent="0.25">
      <c r="A4" s="103" t="s">
        <v>181</v>
      </c>
      <c r="B4" s="99" t="s">
        <v>182</v>
      </c>
      <c r="C4" s="100">
        <v>10000</v>
      </c>
      <c r="D4" s="101"/>
      <c r="E4" s="102">
        <f>C4+D4</f>
        <v>10000</v>
      </c>
    </row>
    <row r="5" spans="1:9" x14ac:dyDescent="0.25">
      <c r="A5" s="104" t="s">
        <v>148</v>
      </c>
      <c r="B5" s="104"/>
      <c r="C5" s="105">
        <f>SUM(C3:C4)</f>
        <v>60000</v>
      </c>
      <c r="D5" s="106">
        <f>D3+D4</f>
        <v>0</v>
      </c>
      <c r="E5" s="107">
        <f>E3+E4</f>
        <v>60000</v>
      </c>
    </row>
    <row r="6" spans="1:9" x14ac:dyDescent="0.25">
      <c r="A6" s="109" t="s">
        <v>183</v>
      </c>
      <c r="B6" s="109"/>
      <c r="C6" s="94" t="s">
        <v>176</v>
      </c>
      <c r="D6" s="94" t="s">
        <v>177</v>
      </c>
      <c r="E6" s="95" t="s">
        <v>178</v>
      </c>
    </row>
    <row r="7" spans="1:9" x14ac:dyDescent="0.25">
      <c r="A7" s="110" t="s">
        <v>184</v>
      </c>
      <c r="B7" s="111" t="s">
        <v>231</v>
      </c>
      <c r="C7" s="112">
        <v>30000</v>
      </c>
      <c r="D7" s="101"/>
      <c r="E7" s="102">
        <f t="shared" ref="E7:E14" si="0">C7+D7</f>
        <v>30000</v>
      </c>
    </row>
    <row r="8" spans="1:9" x14ac:dyDescent="0.25">
      <c r="A8" s="110" t="s">
        <v>185</v>
      </c>
      <c r="B8" s="111" t="s">
        <v>186</v>
      </c>
      <c r="C8" s="112">
        <v>10000</v>
      </c>
      <c r="D8" s="101"/>
      <c r="E8" s="102">
        <f t="shared" si="0"/>
        <v>10000</v>
      </c>
    </row>
    <row r="9" spans="1:9" x14ac:dyDescent="0.25">
      <c r="A9" s="110" t="s">
        <v>187</v>
      </c>
      <c r="B9" s="111" t="s">
        <v>188</v>
      </c>
      <c r="C9" s="112">
        <v>40000</v>
      </c>
      <c r="D9" s="101"/>
      <c r="E9" s="102">
        <f t="shared" si="0"/>
        <v>40000</v>
      </c>
    </row>
    <row r="10" spans="1:9" x14ac:dyDescent="0.25">
      <c r="A10" s="110" t="s">
        <v>189</v>
      </c>
      <c r="B10" s="111" t="s">
        <v>190</v>
      </c>
      <c r="C10" s="112">
        <v>50000</v>
      </c>
      <c r="D10" s="101"/>
      <c r="E10" s="102">
        <f t="shared" si="0"/>
        <v>50000</v>
      </c>
    </row>
    <row r="11" spans="1:9" x14ac:dyDescent="0.25">
      <c r="A11" s="110" t="s">
        <v>191</v>
      </c>
      <c r="B11" s="111" t="s">
        <v>192</v>
      </c>
      <c r="C11" s="112">
        <v>30000</v>
      </c>
      <c r="D11" s="101"/>
      <c r="E11" s="102">
        <f t="shared" si="0"/>
        <v>30000</v>
      </c>
    </row>
    <row r="12" spans="1:9" x14ac:dyDescent="0.25">
      <c r="A12" s="110" t="s">
        <v>193</v>
      </c>
      <c r="B12" s="111" t="s">
        <v>194</v>
      </c>
      <c r="C12" s="112">
        <v>200000</v>
      </c>
      <c r="D12" s="101"/>
      <c r="E12" s="102">
        <f t="shared" si="0"/>
        <v>200000</v>
      </c>
    </row>
    <row r="13" spans="1:9" x14ac:dyDescent="0.25">
      <c r="A13" s="110" t="s">
        <v>195</v>
      </c>
      <c r="B13" s="111" t="s">
        <v>196</v>
      </c>
      <c r="C13" s="112">
        <v>429999</v>
      </c>
      <c r="D13" s="101"/>
      <c r="E13" s="102">
        <f t="shared" si="0"/>
        <v>429999</v>
      </c>
    </row>
    <row r="14" spans="1:9" x14ac:dyDescent="0.25">
      <c r="A14" s="104" t="s">
        <v>148</v>
      </c>
      <c r="B14" s="104"/>
      <c r="C14" s="113">
        <f>SUM(C7:C13)</f>
        <v>789999</v>
      </c>
      <c r="D14" s="106"/>
      <c r="E14" s="108">
        <f t="shared" si="0"/>
        <v>789999</v>
      </c>
    </row>
    <row r="15" spans="1:9" x14ac:dyDescent="0.25">
      <c r="A15" s="114" t="s">
        <v>197</v>
      </c>
      <c r="B15" s="115"/>
      <c r="C15" s="94" t="s">
        <v>176</v>
      </c>
      <c r="D15" s="94" t="s">
        <v>177</v>
      </c>
      <c r="E15" s="95" t="s">
        <v>178</v>
      </c>
    </row>
    <row r="16" spans="1:9" x14ac:dyDescent="0.25">
      <c r="A16" s="98" t="s">
        <v>198</v>
      </c>
      <c r="B16" s="99" t="s">
        <v>199</v>
      </c>
      <c r="C16" s="112">
        <v>150000</v>
      </c>
      <c r="D16" s="101"/>
      <c r="E16" s="102">
        <f t="shared" ref="E16:E20" si="1">C16+D16</f>
        <v>150000</v>
      </c>
    </row>
    <row r="17" spans="1:9" x14ac:dyDescent="0.25">
      <c r="A17" s="98" t="s">
        <v>200</v>
      </c>
      <c r="B17" s="99" t="s">
        <v>201</v>
      </c>
      <c r="C17" s="112">
        <v>631715</v>
      </c>
      <c r="D17" s="101"/>
      <c r="E17" s="102">
        <f t="shared" si="1"/>
        <v>631715</v>
      </c>
    </row>
    <row r="18" spans="1:9" x14ac:dyDescent="0.25">
      <c r="A18" s="98" t="s">
        <v>202</v>
      </c>
      <c r="B18" s="99" t="s">
        <v>203</v>
      </c>
      <c r="C18" s="112">
        <v>200000</v>
      </c>
      <c r="D18" s="101"/>
      <c r="E18" s="102">
        <f t="shared" si="1"/>
        <v>200000</v>
      </c>
    </row>
    <row r="19" spans="1:9" x14ac:dyDescent="0.25">
      <c r="A19" s="98" t="s">
        <v>204</v>
      </c>
      <c r="B19" s="99" t="s">
        <v>205</v>
      </c>
      <c r="C19" s="112">
        <v>270000</v>
      </c>
      <c r="D19" s="101"/>
      <c r="E19" s="102">
        <f t="shared" si="1"/>
        <v>270000</v>
      </c>
    </row>
    <row r="20" spans="1:9" x14ac:dyDescent="0.25">
      <c r="A20" s="104" t="s">
        <v>148</v>
      </c>
      <c r="B20" s="104"/>
      <c r="C20" s="105">
        <f>SUM(C16:C19)</f>
        <v>1251715</v>
      </c>
      <c r="D20" s="116"/>
      <c r="E20" s="108">
        <f t="shared" si="1"/>
        <v>1251715</v>
      </c>
    </row>
    <row r="21" spans="1:9" x14ac:dyDescent="0.25">
      <c r="A21" s="114" t="s">
        <v>206</v>
      </c>
      <c r="B21" s="115"/>
      <c r="C21" s="94" t="s">
        <v>176</v>
      </c>
      <c r="D21" s="94" t="s">
        <v>177</v>
      </c>
      <c r="E21" s="95" t="s">
        <v>178</v>
      </c>
    </row>
    <row r="22" spans="1:9" x14ac:dyDescent="0.25">
      <c r="A22" s="110" t="s">
        <v>227</v>
      </c>
      <c r="B22" s="111" t="s">
        <v>207</v>
      </c>
      <c r="C22" s="112">
        <v>210000</v>
      </c>
      <c r="D22" s="125">
        <v>70000</v>
      </c>
      <c r="E22" s="102">
        <f t="shared" ref="E22:E23" si="2">C22+D22</f>
        <v>280000</v>
      </c>
    </row>
    <row r="23" spans="1:9" x14ac:dyDescent="0.25">
      <c r="A23" s="104" t="s">
        <v>148</v>
      </c>
      <c r="B23" s="104"/>
      <c r="C23" s="105">
        <f>SUM(C22:C22)</f>
        <v>210000</v>
      </c>
      <c r="D23" s="106">
        <f>SUM(D22:D22)</f>
        <v>70000</v>
      </c>
      <c r="E23" s="108">
        <f t="shared" si="2"/>
        <v>280000</v>
      </c>
    </row>
    <row r="24" spans="1:9" x14ac:dyDescent="0.25">
      <c r="A24" s="114" t="s">
        <v>208</v>
      </c>
      <c r="B24" s="115"/>
      <c r="C24" s="117" t="s">
        <v>176</v>
      </c>
      <c r="D24" s="117" t="s">
        <v>177</v>
      </c>
      <c r="E24" s="95" t="s">
        <v>178</v>
      </c>
    </row>
    <row r="25" spans="1:9" x14ac:dyDescent="0.25">
      <c r="A25" s="98" t="s">
        <v>209</v>
      </c>
      <c r="B25" s="99" t="s">
        <v>210</v>
      </c>
      <c r="C25" s="112">
        <v>70000</v>
      </c>
      <c r="D25" s="101"/>
      <c r="E25" s="102">
        <f>C25+D25</f>
        <v>70000</v>
      </c>
    </row>
    <row r="26" spans="1:9" x14ac:dyDescent="0.25">
      <c r="A26" s="98" t="s">
        <v>211</v>
      </c>
      <c r="B26" s="99" t="s">
        <v>212</v>
      </c>
      <c r="C26" s="112">
        <v>2000000</v>
      </c>
      <c r="D26" s="101"/>
      <c r="E26" s="102">
        <f t="shared" ref="E26:E28" si="3">C26+D26</f>
        <v>2000000</v>
      </c>
    </row>
    <row r="27" spans="1:9" x14ac:dyDescent="0.25">
      <c r="A27" s="98" t="s">
        <v>213</v>
      </c>
      <c r="B27" s="99" t="s">
        <v>214</v>
      </c>
      <c r="C27" s="112">
        <v>10000</v>
      </c>
      <c r="D27" s="101"/>
      <c r="E27" s="102">
        <f t="shared" si="3"/>
        <v>10000</v>
      </c>
    </row>
    <row r="28" spans="1:9" x14ac:dyDescent="0.25">
      <c r="A28" s="104" t="s">
        <v>148</v>
      </c>
      <c r="B28" s="104"/>
      <c r="C28" s="105">
        <f>SUM(C25:C27)</f>
        <v>2080000</v>
      </c>
      <c r="D28" s="106"/>
      <c r="E28" s="108">
        <f t="shared" si="3"/>
        <v>2080000</v>
      </c>
    </row>
    <row r="29" spans="1:9" x14ac:dyDescent="0.25">
      <c r="A29" s="104" t="s">
        <v>215</v>
      </c>
      <c r="B29" s="104"/>
      <c r="C29" s="94" t="s">
        <v>176</v>
      </c>
      <c r="D29" s="94" t="s">
        <v>177</v>
      </c>
      <c r="E29" s="95" t="s">
        <v>178</v>
      </c>
      <c r="I29" s="118"/>
    </row>
    <row r="30" spans="1:9" x14ac:dyDescent="0.25">
      <c r="A30" s="110" t="s">
        <v>232</v>
      </c>
      <c r="B30" s="111" t="s">
        <v>216</v>
      </c>
      <c r="C30" s="112">
        <v>30000</v>
      </c>
      <c r="D30" s="125">
        <v>30000</v>
      </c>
      <c r="E30" s="102">
        <f>C30+D30</f>
        <v>60000</v>
      </c>
      <c r="I30" s="118"/>
    </row>
    <row r="31" spans="1:9" x14ac:dyDescent="0.25">
      <c r="A31" s="110" t="s">
        <v>217</v>
      </c>
      <c r="B31" s="111" t="s">
        <v>218</v>
      </c>
      <c r="C31" s="100">
        <v>40000</v>
      </c>
      <c r="D31" s="101"/>
      <c r="E31" s="102">
        <f t="shared" ref="E31:E33" si="4">C31+D31</f>
        <v>40000</v>
      </c>
    </row>
    <row r="32" spans="1:9" x14ac:dyDescent="0.25">
      <c r="A32" s="119" t="s">
        <v>233</v>
      </c>
      <c r="B32" s="111" t="s">
        <v>219</v>
      </c>
      <c r="C32" s="100"/>
      <c r="D32" s="125">
        <v>5000</v>
      </c>
      <c r="E32" s="102">
        <f>C32+D32</f>
        <v>5000</v>
      </c>
    </row>
    <row r="33" spans="1:5" x14ac:dyDescent="0.25">
      <c r="A33" s="104" t="s">
        <v>148</v>
      </c>
      <c r="B33" s="104"/>
      <c r="C33" s="105">
        <f>SUM(C30:C31)</f>
        <v>70000</v>
      </c>
      <c r="D33" s="106">
        <f>SUM(D30:D32)</f>
        <v>35000</v>
      </c>
      <c r="E33" s="108">
        <f t="shared" si="4"/>
        <v>105000</v>
      </c>
    </row>
    <row r="34" spans="1:5" x14ac:dyDescent="0.25">
      <c r="A34" s="104" t="s">
        <v>220</v>
      </c>
      <c r="B34" s="104"/>
      <c r="C34" s="94" t="s">
        <v>176</v>
      </c>
      <c r="D34" s="94" t="s">
        <v>177</v>
      </c>
      <c r="E34" s="95" t="s">
        <v>178</v>
      </c>
    </row>
    <row r="35" spans="1:5" x14ac:dyDescent="0.25">
      <c r="A35" s="98" t="s">
        <v>221</v>
      </c>
      <c r="B35" s="99" t="s">
        <v>222</v>
      </c>
      <c r="C35" s="100">
        <v>75000</v>
      </c>
      <c r="D35" s="101"/>
      <c r="E35" s="102">
        <f>C35+D35</f>
        <v>75000</v>
      </c>
    </row>
    <row r="36" spans="1:5" x14ac:dyDescent="0.25">
      <c r="A36" s="98" t="s">
        <v>223</v>
      </c>
      <c r="B36" s="99" t="s">
        <v>224</v>
      </c>
      <c r="C36" s="100">
        <v>75000</v>
      </c>
      <c r="D36" s="101"/>
      <c r="E36" s="102">
        <f t="shared" ref="E36:E37" si="5">C36+D36</f>
        <v>75000</v>
      </c>
    </row>
    <row r="37" spans="1:5" x14ac:dyDescent="0.25">
      <c r="A37" s="104" t="s">
        <v>148</v>
      </c>
      <c r="B37" s="104"/>
      <c r="C37" s="105">
        <f>SUM(C35:C36)</f>
        <v>150000</v>
      </c>
      <c r="D37" s="106"/>
      <c r="E37" s="108">
        <f t="shared" si="5"/>
        <v>150000</v>
      </c>
    </row>
    <row r="38" spans="1:5" x14ac:dyDescent="0.25">
      <c r="A38" s="104" t="s">
        <v>225</v>
      </c>
      <c r="B38" s="104"/>
      <c r="C38" s="94" t="s">
        <v>176</v>
      </c>
      <c r="D38" s="94" t="s">
        <v>177</v>
      </c>
      <c r="E38" s="95" t="s">
        <v>178</v>
      </c>
    </row>
    <row r="39" spans="1:5" x14ac:dyDescent="0.25">
      <c r="A39" s="98" t="s">
        <v>234</v>
      </c>
      <c r="B39" s="99" t="s">
        <v>226</v>
      </c>
      <c r="C39" s="112">
        <v>150000</v>
      </c>
      <c r="D39" s="125">
        <v>50101</v>
      </c>
      <c r="E39" s="102">
        <f>C39+D39</f>
        <v>200101</v>
      </c>
    </row>
    <row r="40" spans="1:5" x14ac:dyDescent="0.25">
      <c r="A40" s="103" t="s">
        <v>228</v>
      </c>
      <c r="B40" s="99" t="s">
        <v>229</v>
      </c>
      <c r="C40" s="112">
        <v>90000</v>
      </c>
      <c r="D40" s="125">
        <v>10000</v>
      </c>
      <c r="E40" s="102">
        <f>C40+D40</f>
        <v>100000</v>
      </c>
    </row>
    <row r="41" spans="1:5" x14ac:dyDescent="0.25">
      <c r="A41" s="104" t="s">
        <v>148</v>
      </c>
      <c r="B41" s="104"/>
      <c r="C41" s="105">
        <f>C39+C40</f>
        <v>240000</v>
      </c>
      <c r="D41" s="106">
        <f>D39+D40</f>
        <v>60101</v>
      </c>
      <c r="E41" s="108">
        <f>C41+D41</f>
        <v>300101</v>
      </c>
    </row>
    <row r="42" spans="1:5" x14ac:dyDescent="0.25">
      <c r="A42" s="120" t="s">
        <v>230</v>
      </c>
      <c r="B42" s="120"/>
      <c r="C42" s="121">
        <f>C5+C14+C20+C23+C28+C33+C37+C41</f>
        <v>4851714</v>
      </c>
      <c r="D42" s="122">
        <f>D23+D33+D41</f>
        <v>165101</v>
      </c>
      <c r="E42" s="121">
        <f>E5+E14+E20+E23+E28+E33+E37+E41</f>
        <v>5016815</v>
      </c>
    </row>
    <row r="50" spans="3:3" x14ac:dyDescent="0.25">
      <c r="C50" s="57"/>
    </row>
  </sheetData>
  <mergeCells count="18">
    <mergeCell ref="A33:B33"/>
    <mergeCell ref="A34:B34"/>
    <mergeCell ref="A37:B37"/>
    <mergeCell ref="A38:B38"/>
    <mergeCell ref="A41:B41"/>
    <mergeCell ref="A42:B42"/>
    <mergeCell ref="A20:B20"/>
    <mergeCell ref="A21:B21"/>
    <mergeCell ref="A23:B23"/>
    <mergeCell ref="A24:B24"/>
    <mergeCell ref="A28:B28"/>
    <mergeCell ref="A29:B29"/>
    <mergeCell ref="A1:B1"/>
    <mergeCell ref="A2:B2"/>
    <mergeCell ref="A5:B5"/>
    <mergeCell ref="A6:B6"/>
    <mergeCell ref="A14:B14"/>
    <mergeCell ref="A15:B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Buxheti</vt:lpstr>
      <vt:lpstr>Mallra dhe sherbime</vt:lpstr>
      <vt:lpstr>Shp.komunale</vt:lpstr>
      <vt:lpstr>Subvencionet</vt:lpstr>
      <vt:lpstr>Kapitale</vt:lpstr>
      <vt:lpstr>Investimet 2022 Faqe zyrtare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2021-12-30T12:30:00Z</dcterms:modified>
</cp:coreProperties>
</file>